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 Files 2-2-2026\USF Dockets\1. USF Annual Plans\DN 43510 USF Plans\Data Requests\18. 18th Set Amended 2026\"/>
    </mc:Choice>
  </mc:AlternateContent>
  <xr:revisionPtr revIDLastSave="0" documentId="13_ncr:1_{B7146191-C46D-45E8-A973-E36E7A30E722}" xr6:coauthVersionLast="47" xr6:coauthVersionMax="47" xr10:uidLastSave="{00000000-0000-0000-0000-000000000000}"/>
  <bookViews>
    <workbookView xWindow="-108" yWindow="-108" windowWidth="23256" windowHeight="12456" xr2:uid="{9C0F4939-6058-4815-9C3E-991CB1B9AEC4}"/>
  </bookViews>
  <sheets>
    <sheet name="Rule 7_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M37" i="1"/>
  <c r="D18" i="1"/>
  <c r="C18" i="1"/>
  <c r="J30" i="1" l="1"/>
  <c r="M29" i="1"/>
  <c r="M28" i="1"/>
  <c r="M27" i="1"/>
  <c r="M26" i="1"/>
  <c r="K25" i="1"/>
  <c r="L25" i="1" s="1"/>
  <c r="M25" i="1" s="1"/>
  <c r="M30" i="1" l="1"/>
  <c r="B63" i="1" s="1"/>
  <c r="B64" i="1" l="1"/>
  <c r="L44" i="1"/>
  <c r="L43" i="1"/>
  <c r="L39" i="1"/>
  <c r="L38" i="1"/>
  <c r="L47" i="1"/>
  <c r="C17" i="1"/>
  <c r="E17" i="1" s="1"/>
  <c r="M17" i="1"/>
  <c r="D17" i="1" l="1"/>
  <c r="G17" i="1" s="1"/>
  <c r="C19" i="1"/>
  <c r="C53" i="1" l="1"/>
  <c r="C50" i="1"/>
  <c r="M47" i="1"/>
  <c r="M46" i="1"/>
  <c r="B69" i="1" s="1"/>
  <c r="M19" i="1" l="1"/>
  <c r="K44" i="1" l="1"/>
  <c r="J44" i="1"/>
  <c r="K43" i="1"/>
  <c r="J43" i="1"/>
  <c r="K42" i="1"/>
  <c r="J42" i="1"/>
  <c r="K39" i="1"/>
  <c r="J39" i="1"/>
  <c r="K38" i="1"/>
  <c r="J38" i="1"/>
  <c r="K37" i="1"/>
  <c r="J37" i="1"/>
  <c r="E44" i="1"/>
  <c r="D44" i="1"/>
  <c r="E43" i="1"/>
  <c r="D43" i="1"/>
  <c r="E42" i="1"/>
  <c r="D42" i="1"/>
  <c r="E39" i="1"/>
  <c r="D39" i="1"/>
  <c r="E38" i="1"/>
  <c r="D38" i="1"/>
  <c r="E37" i="1"/>
  <c r="D37" i="1"/>
  <c r="F18" i="1" l="1"/>
  <c r="E19" i="1"/>
  <c r="H55" i="1"/>
  <c r="H54" i="1"/>
  <c r="H52" i="1"/>
  <c r="G55" i="1"/>
  <c r="G54" i="1"/>
  <c r="G53" i="1"/>
  <c r="G52" i="1"/>
  <c r="F55" i="1"/>
  <c r="F54" i="1"/>
  <c r="F52" i="1"/>
  <c r="E55" i="1"/>
  <c r="E54" i="1"/>
  <c r="E53" i="1"/>
  <c r="E52" i="1"/>
  <c r="E51" i="1"/>
  <c r="E50" i="1"/>
  <c r="C55" i="1"/>
  <c r="C54" i="1"/>
  <c r="C52" i="1"/>
  <c r="C51" i="1"/>
  <c r="B55" i="1"/>
  <c r="B54" i="1"/>
  <c r="B53" i="1"/>
  <c r="B52" i="1"/>
  <c r="B51" i="1"/>
  <c r="B50" i="1"/>
  <c r="A55" i="1"/>
  <c r="A54" i="1"/>
  <c r="A53" i="1"/>
  <c r="A52" i="1"/>
  <c r="A51" i="1"/>
  <c r="A50" i="1"/>
  <c r="E56" i="1" l="1"/>
  <c r="F17" i="1"/>
  <c r="F51" i="1"/>
  <c r="G51" i="1"/>
  <c r="H51" i="1" s="1"/>
  <c r="G50" i="1"/>
  <c r="F50" i="1" l="1"/>
  <c r="F53" i="1"/>
  <c r="H53" i="1" s="1"/>
  <c r="D19" i="1"/>
  <c r="G18" i="1"/>
  <c r="G19" i="1" s="1"/>
  <c r="F56" i="1" l="1"/>
  <c r="H50" i="1"/>
  <c r="H56" i="1" l="1"/>
  <c r="B65" i="1" s="1"/>
  <c r="B67" i="1" s="1"/>
  <c r="F19" i="1"/>
  <c r="B70" i="1" l="1"/>
  <c r="B71" i="1" s="1"/>
  <c r="B73" i="1" s="1"/>
  <c r="B75" i="1" l="1"/>
  <c r="B74" i="1"/>
  <c r="B76" i="1" l="1"/>
</calcChain>
</file>

<file path=xl/sharedStrings.xml><?xml version="1.0" encoding="utf-8"?>
<sst xmlns="http://schemas.openxmlformats.org/spreadsheetml/2006/main" count="146" uniqueCount="100">
  <si>
    <t>Originated By:</t>
  </si>
  <si>
    <t>AGL</t>
  </si>
  <si>
    <t>DN 41560 Application</t>
  </si>
  <si>
    <t>Date</t>
  </si>
  <si>
    <t>Service Needed</t>
  </si>
  <si>
    <t>Service Center</t>
  </si>
  <si>
    <t>County</t>
  </si>
  <si>
    <t>Land District</t>
  </si>
  <si>
    <t>Land Lots</t>
  </si>
  <si>
    <t xml:space="preserve">BCA Number </t>
  </si>
  <si>
    <t>i. Section-1: Name &amp; Address of Requesting Organization:</t>
  </si>
  <si>
    <t>ii. Section-2: Name &amp; Address of Service Location:</t>
  </si>
  <si>
    <t xml:space="preserve"> </t>
  </si>
  <si>
    <t>iii. Section-3: Applicant Contact Information:</t>
  </si>
  <si>
    <t>iv. Section-4: Loads Information: Existing &amp; Requested</t>
  </si>
  <si>
    <t>Loads</t>
  </si>
  <si>
    <t>Therms</t>
  </si>
  <si>
    <t>Max Hour</t>
  </si>
  <si>
    <t>Max Day</t>
  </si>
  <si>
    <t>Max Annual</t>
  </si>
  <si>
    <t>Firm Hour</t>
  </si>
  <si>
    <t>Firm Day</t>
  </si>
  <si>
    <t>Delivery Pressure</t>
  </si>
  <si>
    <t>Service
CFH</t>
  </si>
  <si>
    <t>Existing</t>
  </si>
  <si>
    <t>-</t>
  </si>
  <si>
    <t>Additional</t>
  </si>
  <si>
    <t>Requested</t>
  </si>
  <si>
    <t>Future</t>
  </si>
  <si>
    <t>Total</t>
  </si>
  <si>
    <t>v. Section-5: Usage &amp; Revenues: Calculate Expected Revenues</t>
  </si>
  <si>
    <t>Usage &amp;
Revenues</t>
  </si>
  <si>
    <t>Meters</t>
  </si>
  <si>
    <t>Conversion</t>
  </si>
  <si>
    <t>Use</t>
  </si>
  <si>
    <t>DDDC</t>
  </si>
  <si>
    <t>Max Hr
(CFH)</t>
  </si>
  <si>
    <t>Total
DDDC</t>
  </si>
  <si>
    <t>Total
Base Revenue</t>
  </si>
  <si>
    <t>vi. Section-6: Existing Facilities &amp; Proposed Facilities for Mains &amp; Services</t>
  </si>
  <si>
    <t>Existing Facilities</t>
  </si>
  <si>
    <t>Proposed Facilities</t>
  </si>
  <si>
    <t>Main</t>
  </si>
  <si>
    <t>Size</t>
  </si>
  <si>
    <t>Type</t>
  </si>
  <si>
    <t>Pressure</t>
  </si>
  <si>
    <t>Length</t>
  </si>
  <si>
    <t>Filed $$</t>
  </si>
  <si>
    <t>Max</t>
  </si>
  <si>
    <t>Min</t>
  </si>
  <si>
    <t>Service</t>
  </si>
  <si>
    <t>Weighted Average of Project Facilities</t>
  </si>
  <si>
    <t>%</t>
  </si>
  <si>
    <t>Avg $$</t>
  </si>
  <si>
    <t>vii. Section-7: Investment Factor</t>
  </si>
  <si>
    <t>Tariff Rule 7 or 8</t>
  </si>
  <si>
    <t>Allowable Investment Estimated Years</t>
  </si>
  <si>
    <t>Investment Factor</t>
  </si>
  <si>
    <t xml:space="preserve">viii. Section-8: Allowable Investment Calculation </t>
  </si>
  <si>
    <t>Estimated Annual Revenue</t>
  </si>
  <si>
    <t>Allowable Investment</t>
  </si>
  <si>
    <t>125' of Pipe</t>
  </si>
  <si>
    <t>Supplemental Allowable Investment</t>
  </si>
  <si>
    <t>Total Allowable Investment including 125' of pipe</t>
  </si>
  <si>
    <t>Contribution In Aid of Construction ("CIAC")</t>
  </si>
  <si>
    <t>ix: Section-9a: Cost to Serve (Main + Service):</t>
  </si>
  <si>
    <t xml:space="preserve">x: Section-9b: Allowable Investment: </t>
  </si>
  <si>
    <t>xi: Section-9c: (Excess Allowable)/Shortfall or CIAC</t>
  </si>
  <si>
    <t>xii: Section-10a: Contribution from Customer</t>
  </si>
  <si>
    <t>xiii: Section-11: USF Requested Amount Before Gross Up</t>
  </si>
  <si>
    <t>Income Tax Gross Up</t>
  </si>
  <si>
    <t>Financing Cost Gross Up</t>
  </si>
  <si>
    <t>USF Requested Amount After Gross Up</t>
  </si>
  <si>
    <t>asap</t>
  </si>
  <si>
    <t>2#</t>
  </si>
  <si>
    <t>G-11</t>
  </si>
  <si>
    <t>No</t>
  </si>
  <si>
    <t>Plastic</t>
  </si>
  <si>
    <t>1-1/4in</t>
  </si>
  <si>
    <t>Athens</t>
  </si>
  <si>
    <t>Oconee</t>
  </si>
  <si>
    <t>325257</t>
  </si>
  <si>
    <t>Grace Fellowship Church</t>
  </si>
  <si>
    <t>1150 Malcom Bridge Rd., Bogart, GA</t>
  </si>
  <si>
    <t>4in</t>
  </si>
  <si>
    <t>Equipment</t>
  </si>
  <si>
    <t>Cost</t>
  </si>
  <si>
    <t>Number</t>
  </si>
  <si>
    <t>Description</t>
  </si>
  <si>
    <t>Excess Flow Valve</t>
  </si>
  <si>
    <t>                                                     i.            Section-1: Name and Address of Requesting Organization.</t>
  </si>
  <si>
    <t>Rates</t>
  </si>
  <si>
    <t xml:space="preserve">
Annual 
Rate
</t>
  </si>
  <si>
    <t>G-11 DDDC Charge Rate</t>
  </si>
  <si>
    <t>G-11 Customer Charge Rate</t>
  </si>
  <si>
    <t>G-11 SRR Rate</t>
  </si>
  <si>
    <t>G-11 ECON-1</t>
  </si>
  <si>
    <t>G-11 DOT</t>
  </si>
  <si>
    <t>Income Tax Gross Up Factor - 2026</t>
  </si>
  <si>
    <t>Finance Cost Gross Up Factor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</si>
</sst>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  <numFmt numFmtId="166" formatCode="#,##0.0"/>
    <numFmt numFmtId="167" formatCode="#,##0.000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41">
    <xf numFmtId="0" fontId="0" fillId="0" borderId="0" xfId="0"/>
    <xf numFmtId="0" fontId="1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0" xfId="0" applyFont="1"/>
    <xf numFmtId="8" fontId="2" fillId="0" borderId="0" xfId="0" applyNumberFormat="1" applyFont="1"/>
    <xf numFmtId="14" fontId="2" fillId="0" borderId="1" xfId="0" applyNumberFormat="1" applyFont="1" applyBorder="1" applyAlignment="1">
      <alignment horizontal="left"/>
    </xf>
    <xf numFmtId="49" fontId="1" fillId="0" borderId="0" xfId="0" applyNumberFormat="1" applyFont="1"/>
    <xf numFmtId="0" fontId="2" fillId="0" borderId="1" xfId="0" applyFont="1" applyBorder="1"/>
    <xf numFmtId="1" fontId="2" fillId="0" borderId="1" xfId="0" applyNumberFormat="1" applyFont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left" vertical="center" indent="15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3" fontId="2" fillId="0" borderId="1" xfId="0" applyNumberFormat="1" applyFont="1" applyBorder="1"/>
    <xf numFmtId="0" fontId="4" fillId="0" borderId="1" xfId="0" applyFont="1" applyBorder="1" applyAlignment="1">
      <alignment horizontal="right"/>
    </xf>
    <xf numFmtId="4" fontId="2" fillId="0" borderId="1" xfId="0" applyNumberFormat="1" applyFont="1" applyBorder="1"/>
    <xf numFmtId="0" fontId="3" fillId="0" borderId="0" xfId="0" applyFont="1" applyAlignment="1">
      <alignment horizontal="center" vertical="center" textRotation="90"/>
    </xf>
    <xf numFmtId="3" fontId="2" fillId="0" borderId="0" xfId="0" applyNumberFormat="1" applyFont="1"/>
    <xf numFmtId="0" fontId="3" fillId="0" borderId="0" xfId="0" applyFont="1" applyAlignment="1">
      <alignment horizontal="center" vertical="center" textRotation="90" wrapText="1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8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8" fontId="2" fillId="0" borderId="19" xfId="0" applyNumberFormat="1" applyFont="1" applyBorder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1" xfId="0" applyFont="1" applyBorder="1" applyAlignment="1">
      <alignment horizontal="left" vertical="center" readingOrder="1"/>
    </xf>
    <xf numFmtId="0" fontId="2" fillId="0" borderId="21" xfId="0" applyFont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167" fontId="2" fillId="0" borderId="21" xfId="0" applyNumberFormat="1" applyFont="1" applyBorder="1" applyAlignment="1">
      <alignment horizontal="center"/>
    </xf>
    <xf numFmtId="8" fontId="1" fillId="0" borderId="22" xfId="0" applyNumberFormat="1" applyFont="1" applyBorder="1"/>
    <xf numFmtId="0" fontId="3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44" fontId="2" fillId="0" borderId="1" xfId="0" applyNumberFormat="1" applyFont="1" applyBorder="1"/>
    <xf numFmtId="44" fontId="2" fillId="0" borderId="0" xfId="0" applyNumberFormat="1" applyFont="1"/>
    <xf numFmtId="49" fontId="4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164" fontId="2" fillId="0" borderId="0" xfId="0" applyNumberFormat="1" applyFont="1"/>
    <xf numFmtId="1" fontId="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44" fontId="4" fillId="0" borderId="1" xfId="0" applyNumberFormat="1" applyFont="1" applyBorder="1"/>
    <xf numFmtId="4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8" fontId="2" fillId="0" borderId="1" xfId="0" applyNumberFormat="1" applyFont="1" applyBorder="1"/>
    <xf numFmtId="8" fontId="1" fillId="0" borderId="1" xfId="0" applyNumberFormat="1" applyFont="1" applyBorder="1"/>
    <xf numFmtId="0" fontId="1" fillId="0" borderId="2" xfId="0" applyFont="1" applyBorder="1" applyAlignment="1">
      <alignment wrapText="1"/>
    </xf>
    <xf numFmtId="8" fontId="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8" fontId="3" fillId="0" borderId="1" xfId="0" applyNumberFormat="1" applyFont="1" applyBorder="1"/>
    <xf numFmtId="0" fontId="4" fillId="0" borderId="5" xfId="0" applyFont="1" applyBorder="1" applyAlignment="1">
      <alignment wrapText="1"/>
    </xf>
    <xf numFmtId="8" fontId="2" fillId="0" borderId="5" xfId="0" applyNumberFormat="1" applyFont="1" applyBorder="1"/>
    <xf numFmtId="0" fontId="4" fillId="0" borderId="1" xfId="0" applyFont="1" applyBorder="1" applyAlignment="1">
      <alignment wrapText="1"/>
    </xf>
    <xf numFmtId="3" fontId="2" fillId="0" borderId="19" xfId="0" applyNumberFormat="1" applyFont="1" applyBorder="1"/>
    <xf numFmtId="0" fontId="1" fillId="0" borderId="21" xfId="0" applyFont="1" applyBorder="1"/>
    <xf numFmtId="4" fontId="2" fillId="0" borderId="21" xfId="0" applyNumberFormat="1" applyFont="1" applyBorder="1"/>
    <xf numFmtId="3" fontId="2" fillId="0" borderId="21" xfId="0" applyNumberFormat="1" applyFont="1" applyBorder="1"/>
    <xf numFmtId="0" fontId="3" fillId="0" borderId="21" xfId="0" applyFont="1" applyBorder="1"/>
    <xf numFmtId="3" fontId="2" fillId="0" borderId="22" xfId="0" applyNumberFormat="1" applyFont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14" fontId="1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7" fillId="0" borderId="2" xfId="1" applyNumberFormat="1" applyFont="1" applyFill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0" fontId="1" fillId="0" borderId="24" xfId="0" applyFont="1" applyBorder="1"/>
    <xf numFmtId="0" fontId="1" fillId="0" borderId="2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readingOrder="1"/>
    </xf>
    <xf numFmtId="0" fontId="3" fillId="0" borderId="17" xfId="0" applyFont="1" applyBorder="1" applyAlignment="1">
      <alignment horizontal="center" vertical="center" readingOrder="1"/>
    </xf>
    <xf numFmtId="0" fontId="3" fillId="0" borderId="20" xfId="0" applyFont="1" applyBorder="1" applyAlignment="1">
      <alignment horizontal="center" vertical="center" readingOrder="1"/>
    </xf>
    <xf numFmtId="0" fontId="3" fillId="0" borderId="5" xfId="0" applyFont="1" applyBorder="1" applyAlignment="1">
      <alignment horizontal="center" wrapText="1"/>
    </xf>
  </cellXfs>
  <cellStyles count="3">
    <cellStyle name="Comma 2" xfId="2" xr:uid="{AF5B1E9B-0FAF-4962-B5F7-B36889AFBCAC}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AAE9D-23BF-4A39-91B6-76506A52E50A}">
  <dimension ref="A1:O85"/>
  <sheetViews>
    <sheetView tabSelected="1" zoomScaleNormal="100" workbookViewId="0">
      <selection activeCell="C3" sqref="C3"/>
    </sheetView>
  </sheetViews>
  <sheetFormatPr defaultRowHeight="10.199999999999999" x14ac:dyDescent="0.2"/>
  <cols>
    <col min="1" max="1" width="22.44140625" style="6" customWidth="1"/>
    <col min="2" max="2" width="25.109375" style="6" customWidth="1"/>
    <col min="3" max="5" width="8.88671875" style="6"/>
    <col min="6" max="6" width="10" style="6" bestFit="1" customWidth="1"/>
    <col min="7" max="12" width="8.88671875" style="6"/>
    <col min="13" max="13" width="12" style="6" customWidth="1"/>
    <col min="14" max="14" width="8.88671875" style="7"/>
    <col min="15" max="16384" width="8.88671875" style="6"/>
  </cols>
  <sheetData>
    <row r="1" spans="1:13" x14ac:dyDescent="0.2">
      <c r="A1" s="4" t="s">
        <v>0</v>
      </c>
      <c r="B1" s="5" t="s">
        <v>1</v>
      </c>
      <c r="E1" s="108" t="s">
        <v>2</v>
      </c>
      <c r="F1" s="108"/>
      <c r="G1" s="108"/>
      <c r="H1" s="108"/>
      <c r="I1" s="108"/>
    </row>
    <row r="2" spans="1:13" x14ac:dyDescent="0.2">
      <c r="A2" s="4" t="s">
        <v>3</v>
      </c>
      <c r="B2" s="8">
        <v>45959</v>
      </c>
      <c r="F2" s="9"/>
      <c r="G2" s="9"/>
      <c r="H2" s="9"/>
    </row>
    <row r="3" spans="1:13" x14ac:dyDescent="0.2">
      <c r="A3" s="4" t="s">
        <v>4</v>
      </c>
      <c r="B3" s="5" t="s">
        <v>73</v>
      </c>
    </row>
    <row r="4" spans="1:13" x14ac:dyDescent="0.2">
      <c r="A4" s="10"/>
      <c r="B4" s="5"/>
    </row>
    <row r="5" spans="1:13" x14ac:dyDescent="0.2">
      <c r="A5" s="4" t="s">
        <v>5</v>
      </c>
      <c r="B5" s="5" t="s">
        <v>79</v>
      </c>
    </row>
    <row r="6" spans="1:13" x14ac:dyDescent="0.2">
      <c r="A6" s="4" t="s">
        <v>6</v>
      </c>
      <c r="B6" s="5" t="s">
        <v>80</v>
      </c>
      <c r="F6" s="88" t="s">
        <v>12</v>
      </c>
      <c r="G6" s="88"/>
      <c r="H6" s="88"/>
    </row>
    <row r="7" spans="1:13" x14ac:dyDescent="0.2">
      <c r="A7" s="4" t="s">
        <v>7</v>
      </c>
      <c r="B7" s="5"/>
      <c r="F7" s="88"/>
      <c r="G7" s="88"/>
      <c r="H7" s="88"/>
    </row>
    <row r="8" spans="1:13" x14ac:dyDescent="0.2">
      <c r="A8" s="4" t="s">
        <v>8</v>
      </c>
      <c r="B8" s="5"/>
      <c r="F8" s="88"/>
      <c r="G8" s="88"/>
      <c r="H8" s="88"/>
    </row>
    <row r="9" spans="1:13" x14ac:dyDescent="0.2">
      <c r="A9" s="4" t="s">
        <v>9</v>
      </c>
      <c r="B9" s="11" t="s">
        <v>81</v>
      </c>
      <c r="F9" s="88"/>
      <c r="G9" s="88"/>
      <c r="H9" s="88"/>
    </row>
    <row r="10" spans="1:13" x14ac:dyDescent="0.2">
      <c r="A10" s="12"/>
      <c r="B10" s="12"/>
      <c r="C10" s="13"/>
      <c r="F10" s="88"/>
      <c r="G10" s="88"/>
      <c r="H10" s="88"/>
    </row>
    <row r="11" spans="1:13" ht="20.399999999999999" x14ac:dyDescent="0.2">
      <c r="A11" s="1" t="s">
        <v>10</v>
      </c>
      <c r="B11" s="109" t="s">
        <v>82</v>
      </c>
      <c r="C11" s="110"/>
      <c r="F11" s="88"/>
      <c r="G11" s="88"/>
      <c r="H11" s="88"/>
    </row>
    <row r="12" spans="1:13" ht="20.399999999999999" x14ac:dyDescent="0.2">
      <c r="A12" s="1" t="s">
        <v>11</v>
      </c>
      <c r="B12" s="122" t="s">
        <v>83</v>
      </c>
      <c r="C12" s="123"/>
      <c r="D12" s="6" t="s">
        <v>12</v>
      </c>
    </row>
    <row r="13" spans="1:13" ht="20.399999999999999" x14ac:dyDescent="0.2">
      <c r="A13" s="1" t="s">
        <v>13</v>
      </c>
      <c r="B13" s="124"/>
      <c r="C13" s="125"/>
      <c r="K13" s="15" t="s">
        <v>90</v>
      </c>
      <c r="M13" s="6" t="s">
        <v>12</v>
      </c>
    </row>
    <row r="14" spans="1:13" ht="10.8" thickBot="1" x14ac:dyDescent="0.25"/>
    <row r="15" spans="1:13" x14ac:dyDescent="0.2">
      <c r="A15" s="111" t="s">
        <v>14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3"/>
    </row>
    <row r="16" spans="1:13" ht="20.399999999999999" x14ac:dyDescent="0.2">
      <c r="A16" s="114" t="s">
        <v>15</v>
      </c>
      <c r="B16" s="4" t="s">
        <v>16</v>
      </c>
      <c r="C16" s="16" t="s">
        <v>17</v>
      </c>
      <c r="D16" s="16" t="s">
        <v>18</v>
      </c>
      <c r="E16" s="16" t="s">
        <v>19</v>
      </c>
      <c r="F16" s="16" t="s">
        <v>20</v>
      </c>
      <c r="G16" s="16" t="s">
        <v>21</v>
      </c>
      <c r="H16" s="117" t="s">
        <v>22</v>
      </c>
      <c r="I16" s="105"/>
      <c r="J16" s="107"/>
      <c r="K16" s="117" t="s">
        <v>23</v>
      </c>
      <c r="L16" s="17" t="s">
        <v>24</v>
      </c>
      <c r="M16" s="80">
        <v>0</v>
      </c>
    </row>
    <row r="17" spans="1:13" x14ac:dyDescent="0.2">
      <c r="A17" s="115"/>
      <c r="B17" s="4" t="s">
        <v>24</v>
      </c>
      <c r="C17" s="18">
        <f>M16/100</f>
        <v>0</v>
      </c>
      <c r="D17" s="18">
        <f>IF(C17=0,0,"")</f>
        <v>0</v>
      </c>
      <c r="E17" s="18">
        <f>IF(C17=0,0,"")</f>
        <v>0</v>
      </c>
      <c r="F17" s="18">
        <f>IF(C17="","",C17)</f>
        <v>0</v>
      </c>
      <c r="G17" s="18">
        <f>IF(D17="","",D17)</f>
        <v>0</v>
      </c>
      <c r="H17" s="118"/>
      <c r="I17" s="17" t="s">
        <v>24</v>
      </c>
      <c r="J17" s="19" t="s">
        <v>25</v>
      </c>
      <c r="K17" s="120"/>
      <c r="L17" s="17" t="s">
        <v>26</v>
      </c>
      <c r="M17" s="80">
        <f>C18*100</f>
        <v>1998.9999999999998</v>
      </c>
    </row>
    <row r="18" spans="1:13" x14ac:dyDescent="0.2">
      <c r="A18" s="115"/>
      <c r="B18" s="4" t="s">
        <v>26</v>
      </c>
      <c r="C18" s="20">
        <f>J25/100</f>
        <v>19.989999999999998</v>
      </c>
      <c r="D18" s="20">
        <f>G25*10</f>
        <v>92.22</v>
      </c>
      <c r="E18" s="18">
        <v>11066</v>
      </c>
      <c r="F18" s="20">
        <f>IF(C18="","",C18)</f>
        <v>19.989999999999998</v>
      </c>
      <c r="G18" s="20">
        <f>IF(D18="","",D18)</f>
        <v>92.22</v>
      </c>
      <c r="H18" s="118"/>
      <c r="I18" s="17" t="s">
        <v>27</v>
      </c>
      <c r="J18" s="19" t="s">
        <v>74</v>
      </c>
      <c r="K18" s="120"/>
      <c r="L18" s="17" t="s">
        <v>28</v>
      </c>
      <c r="M18" s="80"/>
    </row>
    <row r="19" spans="1:13" ht="10.8" thickBot="1" x14ac:dyDescent="0.25">
      <c r="A19" s="116"/>
      <c r="B19" s="81" t="s">
        <v>29</v>
      </c>
      <c r="C19" s="82">
        <f>IF(AND(C17="",C18=""),"",IF(OR(C17&gt;=0,C18&gt;0),SUM(C17:C18),""))</f>
        <v>19.989999999999998</v>
      </c>
      <c r="D19" s="82">
        <f>IF(AND(D17="",D18=""),"",IF(OR(D17&gt;=0,D18&gt;0),SUM(D17:D18),""))</f>
        <v>92.22</v>
      </c>
      <c r="E19" s="83">
        <f>IF(AND(E17="",E18=""),"",IF(OR(E17&gt;=0,E18&gt;0),SUM(E17:E18),""))</f>
        <v>11066</v>
      </c>
      <c r="F19" s="82">
        <f>IF(AND(M16="",M17=""),"",IF(OR(M16&gt;=0,M17&gt;0),SUM(F17:F18),""))</f>
        <v>19.989999999999998</v>
      </c>
      <c r="G19" s="82">
        <f>IF(AND(D17="",D18=""),"",IF(OR(D17&gt;=0,D18&gt;0),SUM(G17:G18),""))</f>
        <v>92.22</v>
      </c>
      <c r="H19" s="119"/>
      <c r="I19" s="126"/>
      <c r="J19" s="127"/>
      <c r="K19" s="121"/>
      <c r="L19" s="84" t="s">
        <v>29</v>
      </c>
      <c r="M19" s="85">
        <f>IF(AND(M16="",M17=""),"",IF(OR(M16&gt;=0,M17&gt;0),SUM(M16:M18),""))</f>
        <v>1998.9999999999998</v>
      </c>
    </row>
    <row r="20" spans="1:13" x14ac:dyDescent="0.2">
      <c r="A20" s="21"/>
      <c r="B20" s="12"/>
      <c r="C20" s="22"/>
      <c r="D20" s="22"/>
      <c r="E20" s="22"/>
      <c r="F20" s="22"/>
      <c r="G20" s="22"/>
      <c r="H20" s="23"/>
      <c r="I20" s="12"/>
      <c r="K20" s="21"/>
      <c r="L20" s="24"/>
      <c r="M20" s="22"/>
    </row>
    <row r="21" spans="1:13" ht="10.8" thickBot="1" x14ac:dyDescent="0.25">
      <c r="B21" s="25"/>
    </row>
    <row r="22" spans="1:13" x14ac:dyDescent="0.2">
      <c r="A22" s="111" t="s">
        <v>30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3"/>
    </row>
    <row r="23" spans="1:13" x14ac:dyDescent="0.2">
      <c r="A23" s="137" t="s">
        <v>31</v>
      </c>
      <c r="B23" s="26" t="s">
        <v>91</v>
      </c>
      <c r="C23" s="133" t="s">
        <v>92</v>
      </c>
      <c r="D23" s="131" t="s">
        <v>32</v>
      </c>
      <c r="E23" s="131" t="s">
        <v>33</v>
      </c>
      <c r="F23" s="131" t="s">
        <v>34</v>
      </c>
      <c r="G23" s="131" t="s">
        <v>35</v>
      </c>
      <c r="H23" s="131" t="s">
        <v>26</v>
      </c>
      <c r="I23" s="131" t="s">
        <v>34</v>
      </c>
      <c r="J23" s="117" t="s">
        <v>36</v>
      </c>
      <c r="K23" s="131" t="s">
        <v>35</v>
      </c>
      <c r="L23" s="133" t="s">
        <v>37</v>
      </c>
      <c r="M23" s="135" t="s">
        <v>38</v>
      </c>
    </row>
    <row r="24" spans="1:13" x14ac:dyDescent="0.2">
      <c r="A24" s="138"/>
      <c r="B24" s="27" t="s">
        <v>75</v>
      </c>
      <c r="C24" s="140"/>
      <c r="D24" s="132"/>
      <c r="E24" s="132"/>
      <c r="F24" s="132"/>
      <c r="G24" s="132"/>
      <c r="H24" s="132"/>
      <c r="I24" s="132"/>
      <c r="J24" s="132"/>
      <c r="K24" s="132"/>
      <c r="L24" s="134"/>
      <c r="M24" s="136"/>
    </row>
    <row r="25" spans="1:13" x14ac:dyDescent="0.2">
      <c r="A25" s="138"/>
      <c r="B25" s="27" t="s">
        <v>93</v>
      </c>
      <c r="C25" s="28">
        <v>144.47999999999999</v>
      </c>
      <c r="D25" s="29">
        <v>1</v>
      </c>
      <c r="E25" s="30" t="s">
        <v>76</v>
      </c>
      <c r="F25" s="31"/>
      <c r="G25" s="32">
        <v>9.2219999999999995</v>
      </c>
      <c r="H25" s="33"/>
      <c r="I25" s="31" t="s">
        <v>12</v>
      </c>
      <c r="J25" s="34">
        <v>1999</v>
      </c>
      <c r="K25" s="32">
        <f>SUM(G25)</f>
        <v>9.2219999999999995</v>
      </c>
      <c r="L25" s="32">
        <f>K25</f>
        <v>9.2219999999999995</v>
      </c>
      <c r="M25" s="35">
        <f>L25*C25</f>
        <v>1332.3945599999997</v>
      </c>
    </row>
    <row r="26" spans="1:13" x14ac:dyDescent="0.2">
      <c r="A26" s="138"/>
      <c r="B26" s="27" t="s">
        <v>94</v>
      </c>
      <c r="C26" s="28">
        <v>969.36</v>
      </c>
      <c r="D26" s="29">
        <v>1</v>
      </c>
      <c r="E26" s="30"/>
      <c r="F26" s="31"/>
      <c r="G26" s="36"/>
      <c r="H26" s="33"/>
      <c r="I26" s="31"/>
      <c r="J26" s="31"/>
      <c r="K26" s="36"/>
      <c r="L26" s="36" t="s">
        <v>12</v>
      </c>
      <c r="M26" s="35">
        <f>C26*D26</f>
        <v>969.36</v>
      </c>
    </row>
    <row r="27" spans="1:13" x14ac:dyDescent="0.2">
      <c r="A27" s="138"/>
      <c r="B27" s="27" t="s">
        <v>95</v>
      </c>
      <c r="C27" s="28">
        <v>41.4</v>
      </c>
      <c r="D27" s="29">
        <v>1</v>
      </c>
      <c r="E27" s="30"/>
      <c r="F27" s="37"/>
      <c r="G27" s="36"/>
      <c r="H27" s="29"/>
      <c r="I27" s="37"/>
      <c r="J27" s="31"/>
      <c r="K27" s="36"/>
      <c r="L27" s="36" t="s">
        <v>12</v>
      </c>
      <c r="M27" s="35">
        <f t="shared" ref="M27:M29" si="0">C27*D27</f>
        <v>41.4</v>
      </c>
    </row>
    <row r="28" spans="1:13" x14ac:dyDescent="0.2">
      <c r="A28" s="138"/>
      <c r="B28" s="27" t="s">
        <v>96</v>
      </c>
      <c r="C28" s="28">
        <v>2.88</v>
      </c>
      <c r="D28" s="29">
        <v>1</v>
      </c>
      <c r="E28" s="30"/>
      <c r="F28" s="37"/>
      <c r="G28" s="36"/>
      <c r="H28" s="29"/>
      <c r="I28" s="37"/>
      <c r="J28" s="31"/>
      <c r="K28" s="36"/>
      <c r="L28" s="36"/>
      <c r="M28" s="35">
        <f t="shared" si="0"/>
        <v>2.88</v>
      </c>
    </row>
    <row r="29" spans="1:13" x14ac:dyDescent="0.2">
      <c r="A29" s="138"/>
      <c r="B29" s="27" t="s">
        <v>97</v>
      </c>
      <c r="C29" s="28">
        <v>4.68</v>
      </c>
      <c r="D29" s="29">
        <v>1</v>
      </c>
      <c r="E29" s="30"/>
      <c r="F29" s="37"/>
      <c r="G29" s="36"/>
      <c r="H29" s="29"/>
      <c r="I29" s="37"/>
      <c r="J29" s="31"/>
      <c r="K29" s="36"/>
      <c r="L29" s="36"/>
      <c r="M29" s="35">
        <f t="shared" si="0"/>
        <v>4.68</v>
      </c>
    </row>
    <row r="30" spans="1:13" ht="10.8" thickBot="1" x14ac:dyDescent="0.25">
      <c r="A30" s="139"/>
      <c r="B30" s="38"/>
      <c r="C30" s="39"/>
      <c r="D30" s="40">
        <v>1</v>
      </c>
      <c r="E30" s="39"/>
      <c r="F30" s="41"/>
      <c r="G30" s="42"/>
      <c r="H30" s="40">
        <v>0</v>
      </c>
      <c r="I30" s="41"/>
      <c r="J30" s="41">
        <f>IF(AND(D25="",D26="",D27="",H25="",H26="",H27=""),"",IF(OR(J25&gt;0,J26&gt;0,J27&gt;0),SUM(J25:J27),0))</f>
        <v>1999</v>
      </c>
      <c r="K30" s="42"/>
      <c r="L30" s="43" t="s">
        <v>12</v>
      </c>
      <c r="M30" s="44">
        <f>SUM(M25:M29)</f>
        <v>2350.7145599999999</v>
      </c>
    </row>
    <row r="31" spans="1:13" x14ac:dyDescent="0.2">
      <c r="B31" s="25"/>
    </row>
    <row r="32" spans="1:13" x14ac:dyDescent="0.2">
      <c r="B32" s="25"/>
    </row>
    <row r="33" spans="1:15" x14ac:dyDescent="0.2">
      <c r="A33" s="2" t="s">
        <v>39</v>
      </c>
      <c r="B33" s="3"/>
      <c r="C33" s="3"/>
      <c r="D33" s="45"/>
      <c r="E33" s="45"/>
      <c r="F33" s="46"/>
      <c r="G33" s="46"/>
      <c r="H33" s="46"/>
      <c r="I33" s="46"/>
      <c r="J33" s="46"/>
      <c r="K33" s="46"/>
      <c r="L33" s="46"/>
      <c r="M33" s="47"/>
    </row>
    <row r="34" spans="1:15" x14ac:dyDescent="0.2">
      <c r="A34" s="128" t="s">
        <v>40</v>
      </c>
      <c r="B34" s="129"/>
      <c r="C34" s="129"/>
      <c r="D34" s="129"/>
      <c r="E34" s="130"/>
      <c r="F34" s="128" t="s">
        <v>41</v>
      </c>
      <c r="G34" s="129"/>
      <c r="H34" s="129"/>
      <c r="I34" s="129"/>
      <c r="J34" s="129"/>
      <c r="K34" s="129"/>
      <c r="L34" s="130"/>
      <c r="M34" s="48"/>
    </row>
    <row r="35" spans="1:15" x14ac:dyDescent="0.2">
      <c r="A35" s="89" t="s">
        <v>42</v>
      </c>
      <c r="B35" s="89" t="s">
        <v>43</v>
      </c>
      <c r="C35" s="89" t="s">
        <v>44</v>
      </c>
      <c r="D35" s="97" t="s">
        <v>45</v>
      </c>
      <c r="E35" s="97"/>
      <c r="F35" s="89" t="s">
        <v>42</v>
      </c>
      <c r="G35" s="89" t="s">
        <v>43</v>
      </c>
      <c r="H35" s="89" t="s">
        <v>44</v>
      </c>
      <c r="I35" s="89" t="s">
        <v>46</v>
      </c>
      <c r="J35" s="97" t="s">
        <v>45</v>
      </c>
      <c r="K35" s="97"/>
      <c r="L35" s="89" t="s">
        <v>47</v>
      </c>
      <c r="M35" s="89" t="s">
        <v>29</v>
      </c>
    </row>
    <row r="36" spans="1:15" ht="10.199999999999999" customHeight="1" x14ac:dyDescent="0.2">
      <c r="A36" s="89"/>
      <c r="B36" s="89"/>
      <c r="C36" s="89"/>
      <c r="D36" s="50" t="s">
        <v>48</v>
      </c>
      <c r="E36" s="50" t="s">
        <v>49</v>
      </c>
      <c r="F36" s="89"/>
      <c r="G36" s="89"/>
      <c r="H36" s="89"/>
      <c r="I36" s="89"/>
      <c r="J36" s="50" t="s">
        <v>48</v>
      </c>
      <c r="K36" s="50" t="s">
        <v>49</v>
      </c>
      <c r="L36" s="89"/>
      <c r="M36" s="89"/>
    </row>
    <row r="37" spans="1:15" ht="14.4" customHeight="1" x14ac:dyDescent="0.2">
      <c r="A37" s="89"/>
      <c r="B37" s="51" t="s">
        <v>84</v>
      </c>
      <c r="C37" s="30" t="s">
        <v>77</v>
      </c>
      <c r="D37" s="29">
        <f>IF(OR(C37="Plastic",C37="MHP Steel"),60,IF(C37="Steel",300,""))</f>
        <v>60</v>
      </c>
      <c r="E37" s="29">
        <f>IF(OR(C37="Plastic",C37="MHP Steel"),25,IF(C37="Steel",125,""))</f>
        <v>25</v>
      </c>
      <c r="F37" s="89"/>
      <c r="G37" s="30" t="s">
        <v>84</v>
      </c>
      <c r="H37" s="30" t="s">
        <v>77</v>
      </c>
      <c r="I37" s="31">
        <v>996</v>
      </c>
      <c r="J37" s="29">
        <f>IF(OR(H37="Plastic",H37="MHP Steel"),60,IF(H37="Steel",300,""))</f>
        <v>60</v>
      </c>
      <c r="K37" s="29">
        <f>IF(OR(H37="Plastic",H37="MHP Steel"),25,IF(H37="Steel",125,""))</f>
        <v>25</v>
      </c>
      <c r="L37" s="52">
        <v>73.2</v>
      </c>
      <c r="M37" s="52">
        <f>L37*I37</f>
        <v>72907.199999999997</v>
      </c>
      <c r="O37" s="53" t="s">
        <v>12</v>
      </c>
    </row>
    <row r="38" spans="1:15" ht="14.4" customHeight="1" x14ac:dyDescent="0.2">
      <c r="A38" s="89"/>
      <c r="B38" s="51"/>
      <c r="C38" s="30"/>
      <c r="D38" s="29" t="str">
        <f t="shared" ref="D38:D39" si="1">IF(OR(C38="Plastic",C38="MHP Steel"),60,IF(C38="Steel",300,""))</f>
        <v/>
      </c>
      <c r="E38" s="29" t="str">
        <f t="shared" ref="E38:E39" si="2">IF(OR(C38="Plastic",C38="MHP Steel"),25,IF(C38="Steel",125,""))</f>
        <v/>
      </c>
      <c r="F38" s="89"/>
      <c r="G38" s="30"/>
      <c r="H38" s="30"/>
      <c r="I38" s="31"/>
      <c r="J38" s="29" t="str">
        <f t="shared" ref="J38:J39" si="3">IF(OR(H38="Plastic",H38="MHP Steel"),60,IF(H38="Steel",300,""))</f>
        <v/>
      </c>
      <c r="K38" s="29" t="str">
        <f t="shared" ref="K38:K39" si="4">IF(OR(H38="Plastic",H38="MHP Steel"),25,IF(H38="Steel",125,""))</f>
        <v/>
      </c>
      <c r="L38" s="52" t="str">
        <f>IF(G38="","",IF(#REF!="R-1",IF(G38="2in",#REF!,IF(G38="4in",#REF!,#REF!)),IF(G38="2in",#REF!,IF(G38="4in",#REF!,#REF!))))</f>
        <v/>
      </c>
      <c r="M38" s="52" t="s">
        <v>12</v>
      </c>
    </row>
    <row r="39" spans="1:15" ht="14.4" customHeight="1" x14ac:dyDescent="0.2">
      <c r="A39" s="89"/>
      <c r="B39" s="51"/>
      <c r="C39" s="30"/>
      <c r="D39" s="29" t="str">
        <f t="shared" si="1"/>
        <v/>
      </c>
      <c r="E39" s="29" t="str">
        <f t="shared" si="2"/>
        <v/>
      </c>
      <c r="F39" s="89"/>
      <c r="G39" s="30"/>
      <c r="H39" s="30"/>
      <c r="I39" s="31"/>
      <c r="J39" s="29" t="str">
        <f t="shared" si="3"/>
        <v/>
      </c>
      <c r="K39" s="29" t="str">
        <f t="shared" si="4"/>
        <v/>
      </c>
      <c r="L39" s="52" t="str">
        <f>IF(G39="","",IF(#REF!="R-1",IF(G39="2in",#REF!,IF(G39="4in",#REF!,#REF!)),IF(G39="2in",#REF!,IF(G39="4in",#REF!,#REF!))))</f>
        <v/>
      </c>
      <c r="M39" s="52" t="s">
        <v>12</v>
      </c>
    </row>
    <row r="40" spans="1:15" ht="14.4" customHeight="1" x14ac:dyDescent="0.2">
      <c r="A40" s="89" t="s">
        <v>50</v>
      </c>
      <c r="B40" s="89" t="s">
        <v>43</v>
      </c>
      <c r="C40" s="89" t="s">
        <v>44</v>
      </c>
      <c r="D40" s="97" t="s">
        <v>45</v>
      </c>
      <c r="E40" s="98"/>
      <c r="F40" s="89" t="s">
        <v>50</v>
      </c>
      <c r="G40" s="89" t="s">
        <v>43</v>
      </c>
      <c r="H40" s="89" t="s">
        <v>44</v>
      </c>
      <c r="I40" s="89" t="s">
        <v>46</v>
      </c>
      <c r="J40" s="97" t="s">
        <v>45</v>
      </c>
      <c r="K40" s="98"/>
      <c r="L40" s="89" t="s">
        <v>47</v>
      </c>
      <c r="M40" s="89" t="s">
        <v>29</v>
      </c>
    </row>
    <row r="41" spans="1:15" ht="14.4" customHeight="1" x14ac:dyDescent="0.2">
      <c r="A41" s="89"/>
      <c r="B41" s="90"/>
      <c r="C41" s="90"/>
      <c r="D41" s="50" t="s">
        <v>48</v>
      </c>
      <c r="E41" s="50" t="s">
        <v>49</v>
      </c>
      <c r="F41" s="89"/>
      <c r="G41" s="90"/>
      <c r="H41" s="90"/>
      <c r="I41" s="90"/>
      <c r="J41" s="50" t="s">
        <v>48</v>
      </c>
      <c r="K41" s="50" t="s">
        <v>49</v>
      </c>
      <c r="L41" s="90"/>
      <c r="M41" s="90"/>
    </row>
    <row r="42" spans="1:15" ht="14.4" customHeight="1" x14ac:dyDescent="0.2">
      <c r="A42" s="89"/>
      <c r="B42" s="54"/>
      <c r="C42" s="30"/>
      <c r="D42" s="29" t="str">
        <f t="shared" ref="D42:D44" si="5">IF(OR(C42="Plastic",C42="MHP Steel"),60,IF(C42="Steel",300,""))</f>
        <v/>
      </c>
      <c r="E42" s="29" t="str">
        <f t="shared" ref="E42:E44" si="6">IF(OR(C42="Plastic",C42="MHP Steel"),25,IF(C42="Steel",125,""))</f>
        <v/>
      </c>
      <c r="F42" s="89"/>
      <c r="G42" s="55" t="s">
        <v>78</v>
      </c>
      <c r="H42" s="30" t="s">
        <v>77</v>
      </c>
      <c r="I42" s="31">
        <v>461</v>
      </c>
      <c r="J42" s="29">
        <f t="shared" ref="J42:J44" si="7">IF(OR(H42="Plastic",H42="MHP Steel"),60,IF(H42="Steel",300,""))</f>
        <v>60</v>
      </c>
      <c r="K42" s="29">
        <f t="shared" ref="K42:K44" si="8">IF(OR(H42="Plastic",H42="MHP Steel"),25,IF(H42="Steel",125,""))</f>
        <v>25</v>
      </c>
      <c r="L42" s="52">
        <v>57.99</v>
      </c>
      <c r="M42" s="52">
        <f>L42*I42</f>
        <v>26733.39</v>
      </c>
    </row>
    <row r="43" spans="1:15" x14ac:dyDescent="0.2">
      <c r="A43" s="89"/>
      <c r="B43" s="54"/>
      <c r="C43" s="30"/>
      <c r="D43" s="29" t="str">
        <f t="shared" si="5"/>
        <v/>
      </c>
      <c r="E43" s="29" t="str">
        <f t="shared" si="6"/>
        <v/>
      </c>
      <c r="F43" s="89"/>
      <c r="G43" s="55"/>
      <c r="H43" s="30"/>
      <c r="I43" s="31"/>
      <c r="J43" s="29" t="str">
        <f t="shared" si="7"/>
        <v/>
      </c>
      <c r="K43" s="29" t="str">
        <f t="shared" si="8"/>
        <v/>
      </c>
      <c r="L43" s="52" t="str">
        <f>IF(G43="","",IF(#REF!="R-1",#REF!,IF(OR(G43="1/2in",G43="5/8in",G43="3/4in",G43="1in",G43="1-1/4in"),#REF!,IF(G43="2in",#REF!,#REF!))))</f>
        <v/>
      </c>
      <c r="M43" s="52" t="s">
        <v>12</v>
      </c>
    </row>
    <row r="44" spans="1:15" x14ac:dyDescent="0.2">
      <c r="A44" s="89"/>
      <c r="B44" s="54"/>
      <c r="C44" s="30"/>
      <c r="D44" s="29" t="str">
        <f t="shared" si="5"/>
        <v/>
      </c>
      <c r="E44" s="29" t="str">
        <f t="shared" si="6"/>
        <v/>
      </c>
      <c r="F44" s="89"/>
      <c r="G44" s="55"/>
      <c r="H44" s="30"/>
      <c r="I44" s="31"/>
      <c r="J44" s="29" t="str">
        <f t="shared" si="7"/>
        <v/>
      </c>
      <c r="K44" s="29" t="str">
        <f t="shared" si="8"/>
        <v/>
      </c>
      <c r="L44" s="52" t="str">
        <f>IF(G44="","",IF(#REF!="R-1",#REF!,IF(OR(G44="1/2in",G44="5/8in",G44="3/4in",G44="1in",G44="1-1/4in"),#REF!,IF(G44="2in",#REF!,#REF!))))</f>
        <v/>
      </c>
      <c r="M44" s="52" t="s">
        <v>12</v>
      </c>
    </row>
    <row r="45" spans="1:15" x14ac:dyDescent="0.2">
      <c r="A45" s="49"/>
      <c r="B45" s="54"/>
      <c r="C45" s="30"/>
      <c r="D45" s="29"/>
      <c r="E45" s="29"/>
      <c r="F45" s="89" t="s">
        <v>85</v>
      </c>
      <c r="G45" s="96" t="s">
        <v>88</v>
      </c>
      <c r="H45" s="96"/>
      <c r="I45" s="96"/>
      <c r="J45" s="96"/>
      <c r="K45" s="56" t="s">
        <v>87</v>
      </c>
      <c r="L45" s="57" t="s">
        <v>86</v>
      </c>
      <c r="M45" s="57" t="s">
        <v>29</v>
      </c>
    </row>
    <row r="46" spans="1:15" x14ac:dyDescent="0.2">
      <c r="A46" s="49"/>
      <c r="B46" s="54"/>
      <c r="C46" s="30"/>
      <c r="D46" s="10"/>
      <c r="E46" s="29"/>
      <c r="F46" s="89"/>
      <c r="G46" s="91" t="s">
        <v>89</v>
      </c>
      <c r="H46" s="91"/>
      <c r="I46" s="91"/>
      <c r="J46" s="91"/>
      <c r="K46" s="29">
        <v>1</v>
      </c>
      <c r="L46" s="52">
        <v>45.79</v>
      </c>
      <c r="M46" s="52">
        <f>IF(G46="","",K46*L46)</f>
        <v>45.79</v>
      </c>
    </row>
    <row r="47" spans="1:15" x14ac:dyDescent="0.2">
      <c r="A47" s="49"/>
      <c r="B47" s="54"/>
      <c r="C47" s="30"/>
      <c r="D47" s="29"/>
      <c r="E47" s="29"/>
      <c r="F47" s="89"/>
      <c r="G47" s="91"/>
      <c r="H47" s="91"/>
      <c r="I47" s="91"/>
      <c r="J47" s="91"/>
      <c r="K47" s="29"/>
      <c r="L47" s="52" t="str">
        <f>IF(G47="","",IF(G47="Excess Flow Valve",#REF!,""))</f>
        <v/>
      </c>
      <c r="M47" s="52" t="str">
        <f>IF(G47="","",K47*L47)</f>
        <v/>
      </c>
    </row>
    <row r="48" spans="1:15" x14ac:dyDescent="0.2">
      <c r="A48" s="58"/>
      <c r="D48" s="59"/>
      <c r="E48" s="59"/>
      <c r="F48" s="58"/>
      <c r="G48" s="25"/>
      <c r="H48" s="25"/>
      <c r="I48" s="22"/>
      <c r="J48" s="59"/>
      <c r="K48" s="59"/>
      <c r="L48" s="60"/>
      <c r="M48" s="53"/>
    </row>
    <row r="49" spans="1:13" x14ac:dyDescent="0.2">
      <c r="A49" s="94" t="s">
        <v>51</v>
      </c>
      <c r="B49" s="95"/>
      <c r="C49" s="94"/>
      <c r="D49" s="95"/>
      <c r="E49" s="61" t="s">
        <v>46</v>
      </c>
      <c r="F49" s="50" t="s">
        <v>52</v>
      </c>
      <c r="G49" s="50" t="s">
        <v>47</v>
      </c>
      <c r="H49" s="50" t="s">
        <v>53</v>
      </c>
      <c r="I49" s="22"/>
      <c r="J49" s="59"/>
      <c r="K49" s="59"/>
      <c r="L49" s="60"/>
      <c r="M49" s="53"/>
    </row>
    <row r="50" spans="1:13" x14ac:dyDescent="0.2">
      <c r="A50" s="62" t="str">
        <f t="shared" ref="A50:B52" si="9">IF(G37="","",G37)</f>
        <v>4in</v>
      </c>
      <c r="B50" s="63" t="str">
        <f t="shared" si="9"/>
        <v>Plastic</v>
      </c>
      <c r="C50" s="92" t="str">
        <f>IF(H37="","",F35)</f>
        <v>Main</v>
      </c>
      <c r="D50" s="93"/>
      <c r="E50" s="31">
        <f>IF(G37="","",I37)</f>
        <v>996</v>
      </c>
      <c r="F50" s="65">
        <f>IF(G37="","",E50/$E$56)</f>
        <v>0.68359643102264933</v>
      </c>
      <c r="G50" s="66">
        <f>IF(G37="","",L37)</f>
        <v>73.2</v>
      </c>
      <c r="H50" s="66">
        <f>IF(G37="","",F50*G50)</f>
        <v>50.039258750857933</v>
      </c>
      <c r="I50" s="22"/>
      <c r="J50" s="59"/>
      <c r="K50" s="59"/>
      <c r="L50" s="60"/>
      <c r="M50" s="53"/>
    </row>
    <row r="51" spans="1:13" x14ac:dyDescent="0.2">
      <c r="A51" s="62" t="str">
        <f t="shared" si="9"/>
        <v/>
      </c>
      <c r="B51" s="63" t="str">
        <f t="shared" si="9"/>
        <v/>
      </c>
      <c r="C51" s="92" t="str">
        <f>IF(H38="","",A35)</f>
        <v/>
      </c>
      <c r="D51" s="93"/>
      <c r="E51" s="31" t="str">
        <f>IF(G38="","",I38)</f>
        <v/>
      </c>
      <c r="F51" s="65" t="str">
        <f>IF(G38="","",E51/$E$56)</f>
        <v/>
      </c>
      <c r="G51" s="66" t="str">
        <f>IF(G38="","",L38)</f>
        <v/>
      </c>
      <c r="H51" s="66" t="str">
        <f>IF(G38="","",F51*G51)</f>
        <v/>
      </c>
      <c r="I51" s="22"/>
      <c r="J51" s="59"/>
      <c r="K51" s="59"/>
      <c r="L51" s="60"/>
      <c r="M51" s="53"/>
    </row>
    <row r="52" spans="1:13" x14ac:dyDescent="0.2">
      <c r="A52" s="62" t="str">
        <f t="shared" si="9"/>
        <v/>
      </c>
      <c r="B52" s="63" t="str">
        <f t="shared" si="9"/>
        <v/>
      </c>
      <c r="C52" s="92" t="str">
        <f>IF(H39="","",A35)</f>
        <v/>
      </c>
      <c r="D52" s="93"/>
      <c r="E52" s="31" t="str">
        <f>IF(G39="","",I39)</f>
        <v/>
      </c>
      <c r="F52" s="65" t="str">
        <f>IF(G39="","",E52/$E$56)</f>
        <v/>
      </c>
      <c r="G52" s="66" t="str">
        <f>IF(G39="","",L39)</f>
        <v/>
      </c>
      <c r="H52" s="66" t="str">
        <f>IF(G39="","",F52*G52)</f>
        <v/>
      </c>
      <c r="I52" s="22"/>
      <c r="J52" s="59"/>
      <c r="K52" s="59"/>
      <c r="L52" s="60"/>
      <c r="M52" s="53"/>
    </row>
    <row r="53" spans="1:13" x14ac:dyDescent="0.2">
      <c r="A53" s="62" t="str">
        <f t="shared" ref="A53:B55" si="10">IF(G42="","",G42)</f>
        <v>1-1/4in</v>
      </c>
      <c r="B53" s="63" t="str">
        <f t="shared" si="10"/>
        <v>Plastic</v>
      </c>
      <c r="C53" s="92" t="str">
        <f>IF(H42="","",F40)</f>
        <v>Service</v>
      </c>
      <c r="D53" s="93"/>
      <c r="E53" s="31">
        <f>IF(G42="","",I42)</f>
        <v>461</v>
      </c>
      <c r="F53" s="65">
        <f>IF(G42="","",E53/$E$56)</f>
        <v>0.31640356897735072</v>
      </c>
      <c r="G53" s="66">
        <f>IF(G42="","",L42)</f>
        <v>57.99</v>
      </c>
      <c r="H53" s="66">
        <f>IF(G42="","",F53*G53)</f>
        <v>18.348242964996569</v>
      </c>
      <c r="I53" s="22"/>
      <c r="J53" s="59"/>
      <c r="K53" s="59"/>
      <c r="L53" s="60"/>
      <c r="M53" s="53"/>
    </row>
    <row r="54" spans="1:13" x14ac:dyDescent="0.2">
      <c r="A54" s="62" t="str">
        <f t="shared" si="10"/>
        <v/>
      </c>
      <c r="B54" s="64" t="str">
        <f t="shared" si="10"/>
        <v/>
      </c>
      <c r="C54" s="92" t="str">
        <f>IF(H43="","",A40)</f>
        <v/>
      </c>
      <c r="D54" s="93"/>
      <c r="E54" s="31" t="str">
        <f t="shared" ref="E54:E55" si="11">IF(G43="","",I43)</f>
        <v/>
      </c>
      <c r="F54" s="65" t="str">
        <f>IF(G43="","",E54/$E$56)</f>
        <v/>
      </c>
      <c r="G54" s="66" t="str">
        <f t="shared" ref="G54:G55" si="12">IF(G43="","",L43)</f>
        <v/>
      </c>
      <c r="H54" s="66" t="str">
        <f>IF(G43="","",F54*G54)</f>
        <v/>
      </c>
      <c r="I54" s="22"/>
      <c r="J54" s="59"/>
      <c r="K54" s="59"/>
      <c r="L54" s="60"/>
      <c r="M54" s="53"/>
    </row>
    <row r="55" spans="1:13" x14ac:dyDescent="0.2">
      <c r="A55" s="62" t="str">
        <f t="shared" si="10"/>
        <v/>
      </c>
      <c r="B55" s="64" t="str">
        <f t="shared" si="10"/>
        <v/>
      </c>
      <c r="C55" s="92" t="str">
        <f>IF(H44="","",A40)</f>
        <v/>
      </c>
      <c r="D55" s="93"/>
      <c r="E55" s="31" t="str">
        <f t="shared" si="11"/>
        <v/>
      </c>
      <c r="F55" s="65" t="str">
        <f>IF(G44="","",E55/$E$56)</f>
        <v/>
      </c>
      <c r="G55" s="66" t="str">
        <f t="shared" si="12"/>
        <v/>
      </c>
      <c r="H55" s="66" t="str">
        <f>IF(G44="","",F55*G55)</f>
        <v/>
      </c>
      <c r="I55" s="22"/>
      <c r="J55" s="59"/>
      <c r="K55" s="59"/>
      <c r="L55" s="60"/>
      <c r="M55" s="53"/>
    </row>
    <row r="56" spans="1:13" x14ac:dyDescent="0.2">
      <c r="A56" s="94" t="s">
        <v>29</v>
      </c>
      <c r="B56" s="101"/>
      <c r="C56" s="101"/>
      <c r="D56" s="94"/>
      <c r="E56" s="31">
        <f>IF(AND($I$37="",$I$38="",$I$39="",$I$42="",$I$43="",$I$44=""),"",SUM(E50:E55))</f>
        <v>1457</v>
      </c>
      <c r="F56" s="65">
        <f>IF(AND($G$37="",$G$38="",$G$39="",$G$42="",$G$43="",$G$44=""),"",SUM(F50:F55))</f>
        <v>1</v>
      </c>
      <c r="G56" s="66"/>
      <c r="H56" s="67">
        <f>IF(AND($G$37="",$G$38="",$G$39="",$G$42="",$G$43="",$G$44=""),"",SUM(H50:H55))</f>
        <v>68.387501715854498</v>
      </c>
      <c r="I56" s="22"/>
      <c r="J56" s="59"/>
      <c r="K56" s="59"/>
      <c r="L56" s="60"/>
      <c r="M56" s="53"/>
    </row>
    <row r="58" spans="1:13" x14ac:dyDescent="0.2">
      <c r="A58" s="102" t="s">
        <v>54</v>
      </c>
      <c r="B58" s="103"/>
      <c r="C58" s="103"/>
      <c r="D58" s="103"/>
      <c r="E58" s="103"/>
      <c r="F58" s="104"/>
      <c r="G58" s="59"/>
      <c r="H58" s="59"/>
      <c r="I58" s="60"/>
      <c r="J58" s="53"/>
    </row>
    <row r="59" spans="1:13" x14ac:dyDescent="0.2">
      <c r="A59" s="105" t="s">
        <v>55</v>
      </c>
      <c r="B59" s="106"/>
      <c r="C59" s="106"/>
      <c r="D59" s="106"/>
      <c r="E59" s="106"/>
      <c r="F59" s="107"/>
    </row>
    <row r="60" spans="1:13" ht="20.399999999999999" x14ac:dyDescent="0.2">
      <c r="A60" s="68" t="s">
        <v>56</v>
      </c>
      <c r="B60" s="37">
        <v>60</v>
      </c>
      <c r="C60" s="17" t="s">
        <v>57</v>
      </c>
      <c r="D60" s="10"/>
      <c r="E60" s="98">
        <v>8.7537455309999999</v>
      </c>
      <c r="F60" s="98"/>
    </row>
    <row r="61" spans="1:13" x14ac:dyDescent="0.2">
      <c r="A61" s="69"/>
      <c r="I61" s="24"/>
      <c r="J61" s="24"/>
      <c r="K61" s="24"/>
    </row>
    <row r="62" spans="1:13" x14ac:dyDescent="0.2">
      <c r="A62" s="99" t="s">
        <v>58</v>
      </c>
      <c r="B62" s="100"/>
      <c r="E62" s="70"/>
      <c r="F62" s="70"/>
      <c r="G62" s="70"/>
      <c r="H62" s="70"/>
      <c r="I62" s="70"/>
      <c r="J62" s="70"/>
      <c r="K62" s="70"/>
      <c r="L62" s="7"/>
    </row>
    <row r="63" spans="1:13" x14ac:dyDescent="0.2">
      <c r="A63" s="68" t="s">
        <v>59</v>
      </c>
      <c r="B63" s="71">
        <f>SUM(M30)</f>
        <v>2350.7145599999999</v>
      </c>
      <c r="E63" s="70"/>
      <c r="F63" s="70"/>
      <c r="G63" s="70"/>
      <c r="H63" s="70"/>
      <c r="I63" s="70"/>
      <c r="J63" s="70"/>
      <c r="K63" s="70"/>
      <c r="L63" s="7"/>
    </row>
    <row r="64" spans="1:13" x14ac:dyDescent="0.2">
      <c r="A64" s="68" t="s">
        <v>60</v>
      </c>
      <c r="B64" s="35">
        <f>B63*E60</f>
        <v>20577.557074256631</v>
      </c>
      <c r="E64" s="70"/>
      <c r="F64" s="70"/>
      <c r="G64" s="70"/>
      <c r="H64" s="70"/>
      <c r="I64" s="70"/>
      <c r="J64" s="70"/>
      <c r="K64" s="70"/>
      <c r="L64" s="7"/>
    </row>
    <row r="65" spans="1:13" x14ac:dyDescent="0.2">
      <c r="A65" s="68" t="s">
        <v>61</v>
      </c>
      <c r="B65" s="28">
        <f>125*H56</f>
        <v>8548.4377144818118</v>
      </c>
      <c r="E65" s="70"/>
      <c r="F65" s="70"/>
      <c r="G65" s="70"/>
      <c r="H65" s="70"/>
      <c r="I65" s="70"/>
      <c r="J65" s="70"/>
      <c r="K65" s="70"/>
      <c r="L65" s="7"/>
    </row>
    <row r="66" spans="1:13" ht="20.399999999999999" x14ac:dyDescent="0.2">
      <c r="A66" s="68" t="s">
        <v>62</v>
      </c>
      <c r="B66" s="71">
        <v>27031.439999999999</v>
      </c>
      <c r="E66" s="70"/>
      <c r="F66" s="70"/>
      <c r="G66" s="70"/>
      <c r="H66" s="70"/>
      <c r="I66" s="70"/>
      <c r="J66" s="70"/>
      <c r="K66" s="70"/>
      <c r="L66" s="7"/>
    </row>
    <row r="67" spans="1:13" ht="20.399999999999999" x14ac:dyDescent="0.2">
      <c r="A67" s="68" t="s">
        <v>63</v>
      </c>
      <c r="B67" s="72">
        <f>SUM(B63:B66)</f>
        <v>58508.149348738443</v>
      </c>
      <c r="E67" s="70"/>
      <c r="F67" s="70"/>
      <c r="G67" s="70"/>
      <c r="H67" s="70"/>
      <c r="I67" s="70"/>
      <c r="J67" s="70"/>
      <c r="K67" s="70"/>
      <c r="L67" s="7"/>
    </row>
    <row r="68" spans="1:13" ht="20.399999999999999" x14ac:dyDescent="0.2">
      <c r="A68" s="73" t="s">
        <v>64</v>
      </c>
      <c r="B68" s="74"/>
      <c r="F68" s="70"/>
      <c r="G68" s="70"/>
      <c r="H68" s="70"/>
      <c r="I68" s="70"/>
      <c r="J68" s="70"/>
      <c r="K68" s="70"/>
      <c r="L68" s="70"/>
      <c r="M68" s="7"/>
    </row>
    <row r="69" spans="1:13" ht="20.399999999999999" x14ac:dyDescent="0.2">
      <c r="A69" s="86" t="s">
        <v>65</v>
      </c>
      <c r="B69" s="71">
        <f>SUM(M37,M42,M46)</f>
        <v>99686.37999999999</v>
      </c>
    </row>
    <row r="70" spans="1:13" ht="20.399999999999999" x14ac:dyDescent="0.2">
      <c r="A70" s="86" t="s">
        <v>66</v>
      </c>
      <c r="B70" s="71">
        <f>IF(B69="","",B67)</f>
        <v>58508.149348738443</v>
      </c>
    </row>
    <row r="71" spans="1:13" ht="20.399999999999999" x14ac:dyDescent="0.2">
      <c r="A71" s="87" t="s">
        <v>67</v>
      </c>
      <c r="B71" s="76">
        <f>IF(AND(B69="",B70=""),"",B69-B70)</f>
        <v>41178.230651261547</v>
      </c>
    </row>
    <row r="72" spans="1:13" ht="20.399999999999999" x14ac:dyDescent="0.2">
      <c r="A72" s="86" t="s">
        <v>68</v>
      </c>
      <c r="B72" s="71">
        <v>0</v>
      </c>
    </row>
    <row r="73" spans="1:13" ht="30.6" x14ac:dyDescent="0.2">
      <c r="A73" s="86" t="s">
        <v>69</v>
      </c>
      <c r="B73" s="72">
        <f>IF(AND(B69="",B70=""),"",IF(B71&lt;=0,0,B71-B72))</f>
        <v>41178.230651261547</v>
      </c>
    </row>
    <row r="74" spans="1:13" x14ac:dyDescent="0.2">
      <c r="A74" s="77" t="s">
        <v>70</v>
      </c>
      <c r="B74" s="78">
        <f>B73*B78</f>
        <v>6445.2166615354572</v>
      </c>
    </row>
    <row r="75" spans="1:13" x14ac:dyDescent="0.2">
      <c r="A75" s="79" t="s">
        <v>71</v>
      </c>
      <c r="B75" s="71">
        <f>B73*B79</f>
        <v>250.77542466618283</v>
      </c>
    </row>
    <row r="76" spans="1:13" ht="20.399999999999999" x14ac:dyDescent="0.2">
      <c r="A76" s="75" t="s">
        <v>72</v>
      </c>
      <c r="B76" s="76">
        <f>IF(B73="","",IF(B73&lt;=0,0,SUM(B73:B75)))</f>
        <v>47874.222737463191</v>
      </c>
    </row>
    <row r="78" spans="1:13" ht="20.399999999999999" x14ac:dyDescent="0.2">
      <c r="A78" s="14" t="s">
        <v>98</v>
      </c>
      <c r="B78" s="4">
        <v>0.15651999999999999</v>
      </c>
    </row>
    <row r="79" spans="1:13" ht="20.399999999999999" x14ac:dyDescent="0.2">
      <c r="A79" s="14" t="s">
        <v>99</v>
      </c>
      <c r="B79" s="4">
        <v>6.0899999999999999E-3</v>
      </c>
    </row>
    <row r="81" spans="9:14" x14ac:dyDescent="0.2">
      <c r="I81" s="7"/>
      <c r="N81" s="6"/>
    </row>
    <row r="82" spans="9:14" x14ac:dyDescent="0.2">
      <c r="I82" s="7"/>
      <c r="N82" s="6"/>
    </row>
    <row r="83" spans="9:14" x14ac:dyDescent="0.2">
      <c r="I83" s="7"/>
      <c r="N83" s="6"/>
    </row>
    <row r="84" spans="9:14" x14ac:dyDescent="0.2">
      <c r="I84" s="7"/>
      <c r="N84" s="6"/>
    </row>
    <row r="85" spans="9:14" x14ac:dyDescent="0.2">
      <c r="I85" s="7"/>
      <c r="N85" s="6"/>
    </row>
  </sheetData>
  <mergeCells count="63">
    <mergeCell ref="I35:I36"/>
    <mergeCell ref="J35:K35"/>
    <mergeCell ref="L35:L36"/>
    <mergeCell ref="H35:H36"/>
    <mergeCell ref="F35:F39"/>
    <mergeCell ref="A22:M22"/>
    <mergeCell ref="K23:K24"/>
    <mergeCell ref="L23:L24"/>
    <mergeCell ref="M23:M24"/>
    <mergeCell ref="A35:A39"/>
    <mergeCell ref="B35:B36"/>
    <mergeCell ref="C35:C36"/>
    <mergeCell ref="D35:E35"/>
    <mergeCell ref="G35:G36"/>
    <mergeCell ref="A23:A30"/>
    <mergeCell ref="C23:C24"/>
    <mergeCell ref="D23:D24"/>
    <mergeCell ref="E23:E24"/>
    <mergeCell ref="F23:F24"/>
    <mergeCell ref="M35:M36"/>
    <mergeCell ref="F34:L34"/>
    <mergeCell ref="A34:E34"/>
    <mergeCell ref="I23:I24"/>
    <mergeCell ref="J23:J24"/>
    <mergeCell ref="G23:G24"/>
    <mergeCell ref="H23:H24"/>
    <mergeCell ref="E1:I1"/>
    <mergeCell ref="B11:C11"/>
    <mergeCell ref="A15:M15"/>
    <mergeCell ref="A16:A19"/>
    <mergeCell ref="H16:H19"/>
    <mergeCell ref="K16:K19"/>
    <mergeCell ref="B12:C12"/>
    <mergeCell ref="B13:C13"/>
    <mergeCell ref="I16:J16"/>
    <mergeCell ref="I19:J19"/>
    <mergeCell ref="A62:B62"/>
    <mergeCell ref="A56:D56"/>
    <mergeCell ref="A58:F58"/>
    <mergeCell ref="A59:F59"/>
    <mergeCell ref="E60:F60"/>
    <mergeCell ref="A40:A44"/>
    <mergeCell ref="G40:G41"/>
    <mergeCell ref="H40:H41"/>
    <mergeCell ref="A49:D49"/>
    <mergeCell ref="C50:D50"/>
    <mergeCell ref="F45:F47"/>
    <mergeCell ref="G45:J45"/>
    <mergeCell ref="I40:I41"/>
    <mergeCell ref="J40:K40"/>
    <mergeCell ref="B40:B41"/>
    <mergeCell ref="C40:C41"/>
    <mergeCell ref="D40:E40"/>
    <mergeCell ref="F40:F44"/>
    <mergeCell ref="L40:L41"/>
    <mergeCell ref="M40:M41"/>
    <mergeCell ref="G46:J46"/>
    <mergeCell ref="G47:J47"/>
    <mergeCell ref="C55:D55"/>
    <mergeCell ref="C51:D51"/>
    <mergeCell ref="C52:D52"/>
    <mergeCell ref="C53:D53"/>
    <mergeCell ref="C54:D54"/>
  </mergeCells>
  <dataValidations count="6">
    <dataValidation type="list" allowBlank="1" showInputMessage="1" showErrorMessage="1" sqref="E25:E29" xr:uid="{71620837-9BEB-4CA5-84FA-FDA7E597764D}">
      <formula1>"Yes, No"</formula1>
    </dataValidation>
    <dataValidation type="list" allowBlank="1" showInputMessage="1" showErrorMessage="1" sqref="J18" xr:uid="{1A00EB31-1D18-4330-9046-0A131ED27F07}">
      <formula1>"7"" wc, 2#, 5#, 10#"</formula1>
    </dataValidation>
    <dataValidation type="list" allowBlank="1" showInputMessage="1" showErrorMessage="1" sqref="B37:B39 G37:G39" xr:uid="{A00D63D6-3E64-444C-84FD-51BA22785B42}">
      <formula1>"2in,4in,6in"</formula1>
    </dataValidation>
    <dataValidation type="list" allowBlank="1" showInputMessage="1" showErrorMessage="1" sqref="C37:C39 H37:H39 H42:H44 C42:C44" xr:uid="{E50F3633-38E7-41BD-91E7-97D52D7608D6}">
      <formula1>"Steel, Plastic, MHP Steel"</formula1>
    </dataValidation>
    <dataValidation type="list" allowBlank="1" showInputMessage="1" showErrorMessage="1" sqref="G42:G44 B42:B44" xr:uid="{C084B58D-1947-4E55-8C60-108F7590B783}">
      <formula1>"1/2in,5/8in,3/4in,1in,1-1/4in,2in,4in"</formula1>
    </dataValidation>
    <dataValidation type="list" allowBlank="1" showInputMessage="1" showErrorMessage="1" sqref="G46:J47" xr:uid="{D772625F-5B3B-40C8-A979-874A790A64AC}">
      <formula1>"Excess Flow Valve"</formula1>
    </dataValidation>
  </dataValidations>
  <pageMargins left="0.7" right="0.7" top="0.75" bottom="0.75" header="0.3" footer="0.3"/>
  <pageSetup scale="8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Rule 7_8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 Wackerly</dc:creator>
  <cp:keywords/>
  <dc:description/>
  <cp:lastModifiedBy>Tony Wackerly</cp:lastModifiedBy>
  <cp:revision/>
  <dcterms:created xsi:type="dcterms:W3CDTF">2022-09-06T13:34:14Z</dcterms:created>
  <dcterms:modified xsi:type="dcterms:W3CDTF">2026-03-06T09:21:26Z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3826ce-7c18-471d-9596-93de5bae332e_Enabled">
    <vt:lpwstr>true</vt:lpwstr>
  </property>
  <property fmtid="{D5CDD505-2E9C-101B-9397-08002B2CF9AE}" pid="3" name="MSIP_Label_ed3826ce-7c18-471d-9596-93de5bae332e_SetDate">
    <vt:lpwstr>2023-10-25T16:53:39Z</vt:lpwstr>
  </property>
  <property fmtid="{D5CDD505-2E9C-101B-9397-08002B2CF9AE}" pid="4" name="MSIP_Label_ed3826ce-7c18-471d-9596-93de5bae332e_Method">
    <vt:lpwstr>Standard</vt:lpwstr>
  </property>
  <property fmtid="{D5CDD505-2E9C-101B-9397-08002B2CF9AE}" pid="5" name="MSIP_Label_ed3826ce-7c18-471d-9596-93de5bae332e_Name">
    <vt:lpwstr>Internal</vt:lpwstr>
  </property>
  <property fmtid="{D5CDD505-2E9C-101B-9397-08002B2CF9AE}" pid="6" name="MSIP_Label_ed3826ce-7c18-471d-9596-93de5bae332e_SiteId">
    <vt:lpwstr>c0a02e2d-1186-410a-8895-0a4a252ebf17</vt:lpwstr>
  </property>
  <property fmtid="{D5CDD505-2E9C-101B-9397-08002B2CF9AE}" pid="7" name="MSIP_Label_ed3826ce-7c18-471d-9596-93de5bae332e_ActionId">
    <vt:lpwstr>66d14d7b-838d-497a-bee0-b5ba255673b8</vt:lpwstr>
  </property>
  <property fmtid="{D5CDD505-2E9C-101B-9397-08002B2CF9AE}" pid="8" name="MSIP_Label_ed3826ce-7c18-471d-9596-93de5bae332e_ContentBits">
    <vt:lpwstr>0</vt:lpwstr>
  </property>
</Properties>
</file>