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filterPrivacy="1" codeName="ThisWorkbook" defaultThemeVersion="124226"/>
  <xr:revisionPtr revIDLastSave="0" documentId="13_ncr:1_{83AC260A-CBCF-47DA-B95B-79D23D765BD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MFRH-1.1" sheetId="11" r:id="rId1"/>
    <sheet name="Hist - Inside" sheetId="7" r:id="rId2"/>
    <sheet name="Hist - Outside" sheetId="22" r:id="rId3"/>
    <sheet name="Hist - Inside Sen Cit Discount" sheetId="25" r:id="rId4"/>
    <sheet name="Hist - Outside Sen Cit Discount" sheetId="26" r:id="rId5"/>
  </sheets>
  <externalReferences>
    <externalReference r:id="rId6"/>
  </externalReferences>
  <definedNames>
    <definedName name="centsperkwhyear">[1]Inputs!$D$193</definedName>
    <definedName name="CO">[1]Inputs!$D$23</definedName>
    <definedName name="_xlnm.Print_Area" localSheetId="1">'Hist - Inside'!$A$1:$P$86</definedName>
    <definedName name="_xlnm.Print_Area" localSheetId="3">'Hist - Inside Sen Cit Discount'!$A$1:$R$86</definedName>
    <definedName name="_xlnm.Print_Area" localSheetId="2">'Hist - Outside'!$A$1:$P$87</definedName>
    <definedName name="_xlnm.Print_Area" localSheetId="4">'Hist - Outside Sen Cit Discount'!$A$1:$R$87</definedName>
    <definedName name="_xlnm.Print_Area" localSheetId="0">'MFRH-1.1'!$A$1:$E$15</definedName>
    <definedName name="_xlnm.Print_Titles" localSheetId="1">'Hist - Inside'!$1:$1</definedName>
    <definedName name="_xlnm.Print_Titles" localSheetId="3">'Hist - Inside Sen Cit Discount'!$1:$1</definedName>
    <definedName name="_xlnm.Print_Titles" localSheetId="2">'Hist - Outside'!$1:$1</definedName>
    <definedName name="_xlnm.Print_Titles" localSheetId="4">'Hist - Outside Sen Cit Discount'!$1:$1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6" i="26" l="1"/>
  <c r="G57" i="26"/>
  <c r="G57" i="25"/>
  <c r="G66" i="25" s="1"/>
  <c r="G66" i="22"/>
  <c r="G57" i="22"/>
  <c r="G57" i="7"/>
  <c r="G66" i="7" s="1"/>
  <c r="L40" i="25" l="1"/>
  <c r="N40" i="25"/>
  <c r="L40" i="26"/>
  <c r="N40" i="26"/>
  <c r="B40" i="26"/>
  <c r="M38" i="26"/>
  <c r="R38" i="26" s="1"/>
  <c r="G38" i="26"/>
  <c r="F38" i="26"/>
  <c r="E38" i="26"/>
  <c r="D38" i="26"/>
  <c r="A38" i="26"/>
  <c r="M37" i="26"/>
  <c r="R37" i="26" s="1"/>
  <c r="G37" i="26"/>
  <c r="F37" i="26"/>
  <c r="E37" i="26"/>
  <c r="D37" i="26"/>
  <c r="A37" i="26"/>
  <c r="M36" i="26"/>
  <c r="R36" i="26" s="1"/>
  <c r="G36" i="26"/>
  <c r="F36" i="26"/>
  <c r="E36" i="26"/>
  <c r="D36" i="26"/>
  <c r="A36" i="26"/>
  <c r="M35" i="26"/>
  <c r="R35" i="26" s="1"/>
  <c r="G35" i="26"/>
  <c r="F35" i="26"/>
  <c r="E35" i="26"/>
  <c r="D35" i="26"/>
  <c r="A35" i="26"/>
  <c r="M34" i="26"/>
  <c r="R34" i="26" s="1"/>
  <c r="G34" i="26"/>
  <c r="F34" i="26"/>
  <c r="E34" i="26"/>
  <c r="D34" i="26"/>
  <c r="A34" i="26"/>
  <c r="M33" i="26"/>
  <c r="R33" i="26" s="1"/>
  <c r="G33" i="26"/>
  <c r="F33" i="26"/>
  <c r="E33" i="26"/>
  <c r="D33" i="26"/>
  <c r="A33" i="26"/>
  <c r="M32" i="26"/>
  <c r="R32" i="26" s="1"/>
  <c r="G32" i="26"/>
  <c r="F32" i="26"/>
  <c r="E32" i="26"/>
  <c r="D32" i="26"/>
  <c r="A32" i="26"/>
  <c r="M31" i="26"/>
  <c r="R31" i="26" s="1"/>
  <c r="G31" i="26"/>
  <c r="F31" i="26"/>
  <c r="E31" i="26"/>
  <c r="D31" i="26"/>
  <c r="A31" i="26"/>
  <c r="M30" i="26"/>
  <c r="R30" i="26" s="1"/>
  <c r="G30" i="26"/>
  <c r="F30" i="26"/>
  <c r="E30" i="26"/>
  <c r="D30" i="26"/>
  <c r="A30" i="26"/>
  <c r="M29" i="26"/>
  <c r="R29" i="26" s="1"/>
  <c r="G29" i="26"/>
  <c r="F29" i="26"/>
  <c r="E29" i="26"/>
  <c r="D29" i="26"/>
  <c r="A29" i="26"/>
  <c r="M28" i="26"/>
  <c r="R28" i="26" s="1"/>
  <c r="G28" i="26"/>
  <c r="F28" i="26"/>
  <c r="E28" i="26"/>
  <c r="D28" i="26"/>
  <c r="A28" i="26"/>
  <c r="M27" i="26"/>
  <c r="R27" i="26" s="1"/>
  <c r="G27" i="26"/>
  <c r="F27" i="26"/>
  <c r="E27" i="26"/>
  <c r="D27" i="26"/>
  <c r="A27" i="26"/>
  <c r="M26" i="26"/>
  <c r="R26" i="26" s="1"/>
  <c r="G26" i="26"/>
  <c r="F26" i="26"/>
  <c r="E26" i="26"/>
  <c r="D26" i="26"/>
  <c r="A26" i="26"/>
  <c r="M25" i="26"/>
  <c r="R25" i="26" s="1"/>
  <c r="G25" i="26"/>
  <c r="F25" i="26"/>
  <c r="E25" i="26"/>
  <c r="D25" i="26"/>
  <c r="A25" i="26"/>
  <c r="M24" i="26"/>
  <c r="R24" i="26" s="1"/>
  <c r="G24" i="26"/>
  <c r="F24" i="26"/>
  <c r="E24" i="26"/>
  <c r="I24" i="26" s="1"/>
  <c r="D24" i="26"/>
  <c r="A24" i="26"/>
  <c r="M23" i="26"/>
  <c r="R23" i="26" s="1"/>
  <c r="G23" i="26"/>
  <c r="F23" i="26"/>
  <c r="E23" i="26"/>
  <c r="D23" i="26"/>
  <c r="A23" i="26"/>
  <c r="M22" i="26"/>
  <c r="R22" i="26" s="1"/>
  <c r="G22" i="26"/>
  <c r="F22" i="26"/>
  <c r="E22" i="26"/>
  <c r="D22" i="26"/>
  <c r="A22" i="26"/>
  <c r="M21" i="26"/>
  <c r="R21" i="26" s="1"/>
  <c r="G21" i="26"/>
  <c r="F21" i="26"/>
  <c r="E21" i="26"/>
  <c r="D21" i="26"/>
  <c r="A21" i="26"/>
  <c r="M20" i="26"/>
  <c r="R20" i="26" s="1"/>
  <c r="G20" i="26"/>
  <c r="F20" i="26"/>
  <c r="E20" i="26"/>
  <c r="D20" i="26"/>
  <c r="A20" i="26"/>
  <c r="M19" i="26"/>
  <c r="R19" i="26" s="1"/>
  <c r="G19" i="26"/>
  <c r="F19" i="26"/>
  <c r="E19" i="26"/>
  <c r="D19" i="26"/>
  <c r="A19" i="26"/>
  <c r="M18" i="26"/>
  <c r="R18" i="26" s="1"/>
  <c r="G18" i="26"/>
  <c r="F18" i="26"/>
  <c r="E18" i="26"/>
  <c r="D18" i="26"/>
  <c r="A18" i="26"/>
  <c r="M17" i="26"/>
  <c r="R17" i="26" s="1"/>
  <c r="G17" i="26"/>
  <c r="F17" i="26"/>
  <c r="E17" i="26"/>
  <c r="D17" i="26"/>
  <c r="A17" i="26"/>
  <c r="M16" i="26"/>
  <c r="R16" i="26" s="1"/>
  <c r="G16" i="26"/>
  <c r="F16" i="26"/>
  <c r="E16" i="26"/>
  <c r="D16" i="26"/>
  <c r="A16" i="26"/>
  <c r="M15" i="26"/>
  <c r="R15" i="26" s="1"/>
  <c r="G15" i="26"/>
  <c r="F15" i="26"/>
  <c r="E15" i="26"/>
  <c r="D15" i="26"/>
  <c r="A15" i="26"/>
  <c r="M14" i="26"/>
  <c r="R14" i="26" s="1"/>
  <c r="G14" i="26"/>
  <c r="F14" i="26"/>
  <c r="E14" i="26"/>
  <c r="D14" i="26"/>
  <c r="A14" i="26"/>
  <c r="M13" i="26"/>
  <c r="R13" i="26" s="1"/>
  <c r="G13" i="26"/>
  <c r="F13" i="26"/>
  <c r="E13" i="26"/>
  <c r="D13" i="26"/>
  <c r="A13" i="26"/>
  <c r="M12" i="26"/>
  <c r="R12" i="26" s="1"/>
  <c r="G12" i="26"/>
  <c r="F12" i="26"/>
  <c r="E12" i="26"/>
  <c r="D12" i="26"/>
  <c r="A12" i="26"/>
  <c r="M11" i="26"/>
  <c r="R11" i="26" s="1"/>
  <c r="G11" i="26"/>
  <c r="F11" i="26"/>
  <c r="E11" i="26"/>
  <c r="D11" i="26"/>
  <c r="A11" i="26"/>
  <c r="M10" i="26"/>
  <c r="R10" i="26" s="1"/>
  <c r="G10" i="26"/>
  <c r="F10" i="26"/>
  <c r="E10" i="26"/>
  <c r="D10" i="26"/>
  <c r="A10" i="26"/>
  <c r="M9" i="26"/>
  <c r="R9" i="26" s="1"/>
  <c r="G9" i="26"/>
  <c r="F9" i="26"/>
  <c r="E9" i="26"/>
  <c r="D9" i="26"/>
  <c r="A9" i="26"/>
  <c r="M8" i="26"/>
  <c r="R8" i="26" s="1"/>
  <c r="G8" i="26"/>
  <c r="F8" i="26"/>
  <c r="E8" i="26"/>
  <c r="D8" i="26"/>
  <c r="A8" i="26"/>
  <c r="M7" i="26"/>
  <c r="R7" i="26" s="1"/>
  <c r="G7" i="26"/>
  <c r="F7" i="26"/>
  <c r="E7" i="26"/>
  <c r="D7" i="26"/>
  <c r="A7" i="26"/>
  <c r="M6" i="26"/>
  <c r="R6" i="26" s="1"/>
  <c r="G6" i="26"/>
  <c r="F6" i="26"/>
  <c r="E6" i="26"/>
  <c r="D6" i="26"/>
  <c r="A6" i="26"/>
  <c r="M5" i="26"/>
  <c r="R5" i="26" s="1"/>
  <c r="G5" i="26"/>
  <c r="F5" i="26"/>
  <c r="E5" i="26"/>
  <c r="D5" i="26"/>
  <c r="A5" i="26"/>
  <c r="M4" i="26"/>
  <c r="R4" i="26" s="1"/>
  <c r="G4" i="26"/>
  <c r="F4" i="26"/>
  <c r="E4" i="26"/>
  <c r="D4" i="26"/>
  <c r="A4" i="26"/>
  <c r="M3" i="26"/>
  <c r="R3" i="26" s="1"/>
  <c r="G3" i="26"/>
  <c r="F3" i="26"/>
  <c r="E3" i="26"/>
  <c r="D3" i="26"/>
  <c r="A3" i="26"/>
  <c r="B40" i="25"/>
  <c r="M38" i="25"/>
  <c r="R38" i="25" s="1"/>
  <c r="G38" i="25"/>
  <c r="F38" i="25"/>
  <c r="E38" i="25"/>
  <c r="D38" i="25"/>
  <c r="M37" i="25"/>
  <c r="R37" i="25" s="1"/>
  <c r="G37" i="25"/>
  <c r="F37" i="25"/>
  <c r="E37" i="25"/>
  <c r="D37" i="25"/>
  <c r="M36" i="25"/>
  <c r="R36" i="25" s="1"/>
  <c r="G36" i="25"/>
  <c r="F36" i="25"/>
  <c r="E36" i="25"/>
  <c r="D36" i="25"/>
  <c r="M35" i="25"/>
  <c r="R35" i="25" s="1"/>
  <c r="G35" i="25"/>
  <c r="F35" i="25"/>
  <c r="E35" i="25"/>
  <c r="D35" i="25"/>
  <c r="M34" i="25"/>
  <c r="R34" i="25" s="1"/>
  <c r="G34" i="25"/>
  <c r="F34" i="25"/>
  <c r="E34" i="25"/>
  <c r="D34" i="25"/>
  <c r="M33" i="25"/>
  <c r="R33" i="25" s="1"/>
  <c r="G33" i="25"/>
  <c r="F33" i="25"/>
  <c r="E33" i="25"/>
  <c r="D33" i="25"/>
  <c r="M32" i="25"/>
  <c r="R32" i="25" s="1"/>
  <c r="G32" i="25"/>
  <c r="F32" i="25"/>
  <c r="E32" i="25"/>
  <c r="D32" i="25"/>
  <c r="M31" i="25"/>
  <c r="R31" i="25" s="1"/>
  <c r="G31" i="25"/>
  <c r="F31" i="25"/>
  <c r="E31" i="25"/>
  <c r="D31" i="25"/>
  <c r="M30" i="25"/>
  <c r="R30" i="25" s="1"/>
  <c r="G30" i="25"/>
  <c r="F30" i="25"/>
  <c r="E30" i="25"/>
  <c r="D30" i="25"/>
  <c r="M29" i="25"/>
  <c r="R29" i="25" s="1"/>
  <c r="G29" i="25"/>
  <c r="F29" i="25"/>
  <c r="E29" i="25"/>
  <c r="D29" i="25"/>
  <c r="M28" i="25"/>
  <c r="R28" i="25" s="1"/>
  <c r="G28" i="25"/>
  <c r="F28" i="25"/>
  <c r="E28" i="25"/>
  <c r="D28" i="25"/>
  <c r="M27" i="25"/>
  <c r="R27" i="25" s="1"/>
  <c r="G27" i="25"/>
  <c r="F27" i="25"/>
  <c r="E27" i="25"/>
  <c r="D27" i="25"/>
  <c r="M26" i="25"/>
  <c r="R26" i="25" s="1"/>
  <c r="G26" i="25"/>
  <c r="F26" i="25"/>
  <c r="E26" i="25"/>
  <c r="D26" i="25"/>
  <c r="M25" i="25"/>
  <c r="R25" i="25" s="1"/>
  <c r="G25" i="25"/>
  <c r="F25" i="25"/>
  <c r="E25" i="25"/>
  <c r="D25" i="25"/>
  <c r="M24" i="25"/>
  <c r="R24" i="25" s="1"/>
  <c r="G24" i="25"/>
  <c r="F24" i="25"/>
  <c r="E24" i="25"/>
  <c r="D24" i="25"/>
  <c r="M23" i="25"/>
  <c r="R23" i="25" s="1"/>
  <c r="G23" i="25"/>
  <c r="F23" i="25"/>
  <c r="E23" i="25"/>
  <c r="D23" i="25"/>
  <c r="M22" i="25"/>
  <c r="R22" i="25" s="1"/>
  <c r="G22" i="25"/>
  <c r="F22" i="25"/>
  <c r="E22" i="25"/>
  <c r="D22" i="25"/>
  <c r="M21" i="25"/>
  <c r="R21" i="25" s="1"/>
  <c r="G21" i="25"/>
  <c r="F21" i="25"/>
  <c r="E21" i="25"/>
  <c r="D21" i="25"/>
  <c r="M20" i="25"/>
  <c r="R20" i="25" s="1"/>
  <c r="G20" i="25"/>
  <c r="F20" i="25"/>
  <c r="E20" i="25"/>
  <c r="D20" i="25"/>
  <c r="M19" i="25"/>
  <c r="R19" i="25" s="1"/>
  <c r="G19" i="25"/>
  <c r="F19" i="25"/>
  <c r="E19" i="25"/>
  <c r="D19" i="25"/>
  <c r="M18" i="25"/>
  <c r="R18" i="25" s="1"/>
  <c r="G18" i="25"/>
  <c r="F18" i="25"/>
  <c r="E18" i="25"/>
  <c r="D18" i="25"/>
  <c r="M17" i="25"/>
  <c r="R17" i="25" s="1"/>
  <c r="G17" i="25"/>
  <c r="F17" i="25"/>
  <c r="E17" i="25"/>
  <c r="D17" i="25"/>
  <c r="M16" i="25"/>
  <c r="R16" i="25" s="1"/>
  <c r="G16" i="25"/>
  <c r="F16" i="25"/>
  <c r="E16" i="25"/>
  <c r="D16" i="25"/>
  <c r="M15" i="25"/>
  <c r="R15" i="25" s="1"/>
  <c r="G15" i="25"/>
  <c r="F15" i="25"/>
  <c r="E15" i="25"/>
  <c r="D15" i="25"/>
  <c r="M14" i="25"/>
  <c r="R14" i="25" s="1"/>
  <c r="G14" i="25"/>
  <c r="F14" i="25"/>
  <c r="E14" i="25"/>
  <c r="D14" i="25"/>
  <c r="M13" i="25"/>
  <c r="R13" i="25" s="1"/>
  <c r="G13" i="25"/>
  <c r="F13" i="25"/>
  <c r="E13" i="25"/>
  <c r="D13" i="25"/>
  <c r="M12" i="25"/>
  <c r="R12" i="25" s="1"/>
  <c r="G12" i="25"/>
  <c r="F12" i="25"/>
  <c r="E12" i="25"/>
  <c r="D12" i="25"/>
  <c r="M11" i="25"/>
  <c r="R11" i="25" s="1"/>
  <c r="G11" i="25"/>
  <c r="F11" i="25"/>
  <c r="E11" i="25"/>
  <c r="D11" i="25"/>
  <c r="M10" i="25"/>
  <c r="R10" i="25" s="1"/>
  <c r="G10" i="25"/>
  <c r="F10" i="25"/>
  <c r="E10" i="25"/>
  <c r="D10" i="25"/>
  <c r="M9" i="25"/>
  <c r="R9" i="25" s="1"/>
  <c r="G9" i="25"/>
  <c r="F9" i="25"/>
  <c r="E9" i="25"/>
  <c r="D9" i="25"/>
  <c r="M8" i="25"/>
  <c r="R8" i="25" s="1"/>
  <c r="G8" i="25"/>
  <c r="F8" i="25"/>
  <c r="E8" i="25"/>
  <c r="D8" i="25"/>
  <c r="M7" i="25"/>
  <c r="R7" i="25" s="1"/>
  <c r="G7" i="25"/>
  <c r="F7" i="25"/>
  <c r="E7" i="25"/>
  <c r="D7" i="25"/>
  <c r="M6" i="25"/>
  <c r="R6" i="25" s="1"/>
  <c r="G6" i="25"/>
  <c r="F6" i="25"/>
  <c r="E6" i="25"/>
  <c r="D6" i="25"/>
  <c r="M5" i="25"/>
  <c r="R5" i="25" s="1"/>
  <c r="G5" i="25"/>
  <c r="F5" i="25"/>
  <c r="E5" i="25"/>
  <c r="D5" i="25"/>
  <c r="M4" i="25"/>
  <c r="R4" i="25" s="1"/>
  <c r="G4" i="25"/>
  <c r="F4" i="25"/>
  <c r="E4" i="25"/>
  <c r="D4" i="25"/>
  <c r="M3" i="25"/>
  <c r="R3" i="25" s="1"/>
  <c r="G3" i="25"/>
  <c r="F3" i="25"/>
  <c r="E3" i="25"/>
  <c r="D3" i="25"/>
  <c r="L6" i="22"/>
  <c r="P6" i="22" s="1"/>
  <c r="L38" i="22"/>
  <c r="P38" i="22" s="1"/>
  <c r="G38" i="22"/>
  <c r="F38" i="22"/>
  <c r="E38" i="22"/>
  <c r="D38" i="22"/>
  <c r="L37" i="22"/>
  <c r="P37" i="22" s="1"/>
  <c r="G37" i="22"/>
  <c r="F37" i="22"/>
  <c r="E37" i="22"/>
  <c r="D37" i="22"/>
  <c r="L36" i="22"/>
  <c r="P36" i="22" s="1"/>
  <c r="G36" i="22"/>
  <c r="F36" i="22"/>
  <c r="E36" i="22"/>
  <c r="D36" i="22"/>
  <c r="L35" i="22"/>
  <c r="P35" i="22" s="1"/>
  <c r="G35" i="22"/>
  <c r="F35" i="22"/>
  <c r="E35" i="22"/>
  <c r="D35" i="22"/>
  <c r="L34" i="22"/>
  <c r="P34" i="22" s="1"/>
  <c r="G34" i="22"/>
  <c r="F34" i="22"/>
  <c r="E34" i="22"/>
  <c r="D34" i="22"/>
  <c r="L33" i="22"/>
  <c r="P33" i="22" s="1"/>
  <c r="G33" i="22"/>
  <c r="F33" i="22"/>
  <c r="E33" i="22"/>
  <c r="D33" i="22"/>
  <c r="L32" i="22"/>
  <c r="P32" i="22" s="1"/>
  <c r="G32" i="22"/>
  <c r="F32" i="22"/>
  <c r="E32" i="22"/>
  <c r="K32" i="22" s="1"/>
  <c r="D32" i="22"/>
  <c r="L31" i="22"/>
  <c r="P31" i="22" s="1"/>
  <c r="G31" i="22"/>
  <c r="F31" i="22"/>
  <c r="E31" i="22"/>
  <c r="D31" i="22"/>
  <c r="L30" i="22"/>
  <c r="P30" i="22" s="1"/>
  <c r="G30" i="22"/>
  <c r="F30" i="22"/>
  <c r="E30" i="22"/>
  <c r="D30" i="22"/>
  <c r="L29" i="22"/>
  <c r="P29" i="22" s="1"/>
  <c r="G29" i="22"/>
  <c r="F29" i="22"/>
  <c r="E29" i="22"/>
  <c r="D29" i="22"/>
  <c r="L28" i="22"/>
  <c r="P28" i="22" s="1"/>
  <c r="G28" i="22"/>
  <c r="F28" i="22"/>
  <c r="E28" i="22"/>
  <c r="D28" i="22"/>
  <c r="L27" i="22"/>
  <c r="P27" i="22" s="1"/>
  <c r="G27" i="22"/>
  <c r="F27" i="22"/>
  <c r="E27" i="22"/>
  <c r="D27" i="22"/>
  <c r="L26" i="22"/>
  <c r="P26" i="22" s="1"/>
  <c r="G26" i="22"/>
  <c r="F26" i="22"/>
  <c r="E26" i="22"/>
  <c r="D26" i="22"/>
  <c r="I26" i="22" s="1"/>
  <c r="L25" i="22"/>
  <c r="P25" i="22" s="1"/>
  <c r="G25" i="22"/>
  <c r="F25" i="22"/>
  <c r="E25" i="22"/>
  <c r="D25" i="22"/>
  <c r="I25" i="22" s="1"/>
  <c r="L24" i="22"/>
  <c r="P24" i="22" s="1"/>
  <c r="G24" i="22"/>
  <c r="F24" i="22"/>
  <c r="E24" i="22"/>
  <c r="D24" i="22"/>
  <c r="L23" i="22"/>
  <c r="P23" i="22" s="1"/>
  <c r="G23" i="22"/>
  <c r="F23" i="22"/>
  <c r="E23" i="22"/>
  <c r="D23" i="22"/>
  <c r="L22" i="22"/>
  <c r="P22" i="22" s="1"/>
  <c r="G22" i="22"/>
  <c r="F22" i="22"/>
  <c r="E22" i="22"/>
  <c r="D22" i="22"/>
  <c r="L21" i="22"/>
  <c r="P21" i="22" s="1"/>
  <c r="G21" i="22"/>
  <c r="F21" i="22"/>
  <c r="E21" i="22"/>
  <c r="D21" i="22"/>
  <c r="L20" i="22"/>
  <c r="P20" i="22" s="1"/>
  <c r="G20" i="22"/>
  <c r="F20" i="22"/>
  <c r="E20" i="22"/>
  <c r="D20" i="22"/>
  <c r="L19" i="22"/>
  <c r="P19" i="22" s="1"/>
  <c r="G19" i="22"/>
  <c r="F19" i="22"/>
  <c r="E19" i="22"/>
  <c r="D19" i="22"/>
  <c r="L18" i="22"/>
  <c r="P18" i="22" s="1"/>
  <c r="G18" i="22"/>
  <c r="F18" i="22"/>
  <c r="E18" i="22"/>
  <c r="K18" i="22" s="1"/>
  <c r="D18" i="22"/>
  <c r="L17" i="22"/>
  <c r="P17" i="22" s="1"/>
  <c r="G17" i="22"/>
  <c r="F17" i="22"/>
  <c r="E17" i="22"/>
  <c r="D17" i="22"/>
  <c r="L16" i="22"/>
  <c r="P16" i="22" s="1"/>
  <c r="G16" i="22"/>
  <c r="F16" i="22"/>
  <c r="E16" i="22"/>
  <c r="D16" i="22"/>
  <c r="L15" i="22"/>
  <c r="P15" i="22" s="1"/>
  <c r="G15" i="22"/>
  <c r="F15" i="22"/>
  <c r="E15" i="22"/>
  <c r="D15" i="22"/>
  <c r="L14" i="22"/>
  <c r="P14" i="22" s="1"/>
  <c r="G14" i="22"/>
  <c r="F14" i="22"/>
  <c r="E14" i="22"/>
  <c r="D14" i="22"/>
  <c r="L13" i="22"/>
  <c r="P13" i="22" s="1"/>
  <c r="G13" i="22"/>
  <c r="F13" i="22"/>
  <c r="E13" i="22"/>
  <c r="D13" i="22"/>
  <c r="L12" i="22"/>
  <c r="P12" i="22" s="1"/>
  <c r="G12" i="22"/>
  <c r="F12" i="22"/>
  <c r="E12" i="22"/>
  <c r="D12" i="22"/>
  <c r="L11" i="22"/>
  <c r="P11" i="22" s="1"/>
  <c r="G11" i="22"/>
  <c r="F11" i="22"/>
  <c r="E11" i="22"/>
  <c r="D11" i="22"/>
  <c r="L10" i="22"/>
  <c r="P10" i="22" s="1"/>
  <c r="G10" i="22"/>
  <c r="F10" i="22"/>
  <c r="E10" i="22"/>
  <c r="D10" i="22"/>
  <c r="L9" i="22"/>
  <c r="P9" i="22" s="1"/>
  <c r="G9" i="22"/>
  <c r="F9" i="22"/>
  <c r="E9" i="22"/>
  <c r="K9" i="22" s="1"/>
  <c r="D9" i="22"/>
  <c r="L8" i="22"/>
  <c r="G8" i="22"/>
  <c r="F8" i="22"/>
  <c r="E8" i="22"/>
  <c r="D8" i="22"/>
  <c r="L7" i="22"/>
  <c r="P7" i="22" s="1"/>
  <c r="G7" i="22"/>
  <c r="F7" i="22"/>
  <c r="E7" i="22"/>
  <c r="D7" i="22"/>
  <c r="G6" i="22"/>
  <c r="F6" i="22"/>
  <c r="E6" i="22"/>
  <c r="D6" i="22"/>
  <c r="L5" i="22"/>
  <c r="P5" i="22" s="1"/>
  <c r="G5" i="22"/>
  <c r="F5" i="22"/>
  <c r="E5" i="22"/>
  <c r="D5" i="22"/>
  <c r="L4" i="22"/>
  <c r="P4" i="22" s="1"/>
  <c r="G4" i="22"/>
  <c r="F4" i="22"/>
  <c r="E4" i="22"/>
  <c r="D4" i="22"/>
  <c r="L3" i="22"/>
  <c r="G3" i="22"/>
  <c r="F3" i="22"/>
  <c r="E3" i="22"/>
  <c r="D3" i="22"/>
  <c r="D33" i="7"/>
  <c r="E33" i="7"/>
  <c r="F33" i="7"/>
  <c r="G33" i="7"/>
  <c r="L33" i="7"/>
  <c r="P33" i="7" s="1"/>
  <c r="D34" i="7"/>
  <c r="E34" i="7"/>
  <c r="F34" i="7"/>
  <c r="G34" i="7"/>
  <c r="L34" i="7"/>
  <c r="P34" i="7" s="1"/>
  <c r="D35" i="7"/>
  <c r="E35" i="7"/>
  <c r="F35" i="7"/>
  <c r="G35" i="7"/>
  <c r="L35" i="7"/>
  <c r="P35" i="7" s="1"/>
  <c r="L32" i="7"/>
  <c r="P32" i="7" s="1"/>
  <c r="G32" i="7"/>
  <c r="F32" i="7"/>
  <c r="E32" i="7"/>
  <c r="D28" i="7"/>
  <c r="E28" i="7"/>
  <c r="F28" i="7"/>
  <c r="G28" i="7"/>
  <c r="L28" i="7"/>
  <c r="P28" i="7" s="1"/>
  <c r="D29" i="7"/>
  <c r="E29" i="7"/>
  <c r="F29" i="7"/>
  <c r="G29" i="7"/>
  <c r="L29" i="7"/>
  <c r="P29" i="7" s="1"/>
  <c r="D30" i="7"/>
  <c r="E30" i="7"/>
  <c r="F30" i="7"/>
  <c r="G30" i="7"/>
  <c r="L30" i="7"/>
  <c r="P30" i="7" s="1"/>
  <c r="D31" i="7"/>
  <c r="E31" i="7"/>
  <c r="F31" i="7"/>
  <c r="G31" i="7"/>
  <c r="L31" i="7"/>
  <c r="P31" i="7" s="1"/>
  <c r="D32" i="7"/>
  <c r="D36" i="7"/>
  <c r="I36" i="7" s="1"/>
  <c r="E36" i="7"/>
  <c r="F36" i="7"/>
  <c r="G36" i="7"/>
  <c r="L36" i="7"/>
  <c r="P36" i="7" s="1"/>
  <c r="D37" i="7"/>
  <c r="E37" i="7"/>
  <c r="F37" i="7"/>
  <c r="G37" i="7"/>
  <c r="L37" i="7"/>
  <c r="P37" i="7" s="1"/>
  <c r="D38" i="7"/>
  <c r="E38" i="7"/>
  <c r="F38" i="7"/>
  <c r="G38" i="7"/>
  <c r="L38" i="7"/>
  <c r="P38" i="7" s="1"/>
  <c r="L27" i="7"/>
  <c r="P27" i="7" s="1"/>
  <c r="G27" i="7"/>
  <c r="F27" i="7"/>
  <c r="E27" i="7"/>
  <c r="D21" i="7"/>
  <c r="E21" i="7"/>
  <c r="F21" i="7"/>
  <c r="G21" i="7"/>
  <c r="L21" i="7"/>
  <c r="P21" i="7" s="1"/>
  <c r="D22" i="7"/>
  <c r="E22" i="7"/>
  <c r="F22" i="7"/>
  <c r="G22" i="7"/>
  <c r="L22" i="7"/>
  <c r="P22" i="7" s="1"/>
  <c r="D23" i="7"/>
  <c r="E23" i="7"/>
  <c r="F23" i="7"/>
  <c r="G23" i="7"/>
  <c r="L23" i="7"/>
  <c r="P23" i="7" s="1"/>
  <c r="L20" i="7"/>
  <c r="P20" i="7" s="1"/>
  <c r="G20" i="7"/>
  <c r="F20" i="7"/>
  <c r="E20" i="7"/>
  <c r="D16" i="7"/>
  <c r="E16" i="7"/>
  <c r="F16" i="7"/>
  <c r="G16" i="7"/>
  <c r="L16" i="7"/>
  <c r="P16" i="7" s="1"/>
  <c r="D17" i="7"/>
  <c r="E17" i="7"/>
  <c r="F17" i="7"/>
  <c r="G17" i="7"/>
  <c r="L17" i="7"/>
  <c r="P17" i="7" s="1"/>
  <c r="D18" i="7"/>
  <c r="E18" i="7"/>
  <c r="F18" i="7"/>
  <c r="G18" i="7"/>
  <c r="L18" i="7"/>
  <c r="P18" i="7" s="1"/>
  <c r="D19" i="7"/>
  <c r="E19" i="7"/>
  <c r="F19" i="7"/>
  <c r="G19" i="7"/>
  <c r="L19" i="7"/>
  <c r="P19" i="7" s="1"/>
  <c r="D20" i="7"/>
  <c r="D24" i="7"/>
  <c r="E24" i="7"/>
  <c r="F24" i="7"/>
  <c r="G24" i="7"/>
  <c r="L24" i="7"/>
  <c r="P24" i="7" s="1"/>
  <c r="D25" i="7"/>
  <c r="E25" i="7"/>
  <c r="F25" i="7"/>
  <c r="G25" i="7"/>
  <c r="L25" i="7"/>
  <c r="P25" i="7" s="1"/>
  <c r="D26" i="7"/>
  <c r="E26" i="7"/>
  <c r="F26" i="7"/>
  <c r="G26" i="7"/>
  <c r="L26" i="7"/>
  <c r="P26" i="7" s="1"/>
  <c r="G15" i="7"/>
  <c r="F15" i="7"/>
  <c r="J15" i="7" s="1"/>
  <c r="E15" i="7"/>
  <c r="L15" i="7"/>
  <c r="P15" i="7" s="1"/>
  <c r="D13" i="7"/>
  <c r="E13" i="7"/>
  <c r="F13" i="7"/>
  <c r="G13" i="7"/>
  <c r="L13" i="7"/>
  <c r="P13" i="7" s="1"/>
  <c r="D14" i="7"/>
  <c r="E14" i="7"/>
  <c r="F14" i="7"/>
  <c r="G14" i="7"/>
  <c r="L14" i="7"/>
  <c r="P14" i="7" s="1"/>
  <c r="L12" i="7"/>
  <c r="P12" i="7" s="1"/>
  <c r="G12" i="7"/>
  <c r="F12" i="7"/>
  <c r="E12" i="7"/>
  <c r="K12" i="7" s="1"/>
  <c r="E9" i="7"/>
  <c r="F9" i="7"/>
  <c r="G9" i="7"/>
  <c r="L9" i="7"/>
  <c r="P9" i="7" s="1"/>
  <c r="E10" i="7"/>
  <c r="F10" i="7"/>
  <c r="G10" i="7"/>
  <c r="L10" i="7"/>
  <c r="P10" i="7" s="1"/>
  <c r="E11" i="7"/>
  <c r="F11" i="7"/>
  <c r="G11" i="7"/>
  <c r="L11" i="7"/>
  <c r="P11" i="7" s="1"/>
  <c r="L8" i="7"/>
  <c r="G8" i="7"/>
  <c r="F8" i="7"/>
  <c r="E8" i="7"/>
  <c r="D4" i="7"/>
  <c r="E4" i="7"/>
  <c r="F4" i="7"/>
  <c r="G4" i="7"/>
  <c r="L4" i="7"/>
  <c r="P4" i="7" s="1"/>
  <c r="D5" i="7"/>
  <c r="E5" i="7"/>
  <c r="F5" i="7"/>
  <c r="G5" i="7"/>
  <c r="I5" i="7"/>
  <c r="L5" i="7"/>
  <c r="P5" i="7" s="1"/>
  <c r="D6" i="7"/>
  <c r="I6" i="7" s="1"/>
  <c r="E6" i="7"/>
  <c r="F6" i="7"/>
  <c r="G6" i="7"/>
  <c r="L6" i="7"/>
  <c r="P6" i="7" s="1"/>
  <c r="D7" i="7"/>
  <c r="E7" i="7"/>
  <c r="F7" i="7"/>
  <c r="G7" i="7"/>
  <c r="I7" i="7"/>
  <c r="L7" i="7"/>
  <c r="P7" i="7" s="1"/>
  <c r="L3" i="7"/>
  <c r="G3" i="7"/>
  <c r="F3" i="7"/>
  <c r="E3" i="7"/>
  <c r="D27" i="7"/>
  <c r="D15" i="7"/>
  <c r="D12" i="7"/>
  <c r="D9" i="7"/>
  <c r="D10" i="7"/>
  <c r="D11" i="7"/>
  <c r="D8" i="7"/>
  <c r="I32" i="7" l="1"/>
  <c r="I8" i="26"/>
  <c r="I12" i="26"/>
  <c r="O12" i="26" s="1"/>
  <c r="I16" i="26"/>
  <c r="O7" i="26"/>
  <c r="O5" i="25"/>
  <c r="J8" i="25"/>
  <c r="O6" i="25"/>
  <c r="O4" i="25"/>
  <c r="O9" i="25"/>
  <c r="K10" i="22"/>
  <c r="K34" i="22"/>
  <c r="J25" i="22"/>
  <c r="M25" i="22" s="1"/>
  <c r="J32" i="22"/>
  <c r="I34" i="22"/>
  <c r="M34" i="22" s="1"/>
  <c r="J8" i="22"/>
  <c r="M27" i="22"/>
  <c r="J3" i="22"/>
  <c r="J16" i="22"/>
  <c r="K23" i="22"/>
  <c r="K8" i="22"/>
  <c r="K6" i="22"/>
  <c r="M6" i="22"/>
  <c r="K25" i="22"/>
  <c r="I11" i="22"/>
  <c r="M11" i="22" s="1"/>
  <c r="K16" i="22"/>
  <c r="M28" i="22"/>
  <c r="I4" i="22"/>
  <c r="K7" i="22"/>
  <c r="K33" i="22"/>
  <c r="K24" i="22"/>
  <c r="J31" i="22"/>
  <c r="M31" i="22" s="1"/>
  <c r="I33" i="22"/>
  <c r="J7" i="22"/>
  <c r="M33" i="22"/>
  <c r="K26" i="22"/>
  <c r="J35" i="22"/>
  <c r="K17" i="22"/>
  <c r="J19" i="22"/>
  <c r="J26" i="22"/>
  <c r="M26" i="22" s="1"/>
  <c r="J29" i="7"/>
  <c r="K5" i="7"/>
  <c r="J27" i="7"/>
  <c r="J6" i="7"/>
  <c r="K6" i="7"/>
  <c r="M6" i="7" s="1"/>
  <c r="I10" i="7"/>
  <c r="J5" i="7"/>
  <c r="M5" i="7" s="1"/>
  <c r="J7" i="7"/>
  <c r="M7" i="7" s="1"/>
  <c r="K7" i="7"/>
  <c r="J37" i="7"/>
  <c r="I28" i="7"/>
  <c r="I33" i="7"/>
  <c r="J38" i="7"/>
  <c r="I27" i="7"/>
  <c r="M27" i="7" s="1"/>
  <c r="K38" i="7"/>
  <c r="J36" i="7"/>
  <c r="K29" i="7"/>
  <c r="I34" i="7"/>
  <c r="K27" i="7"/>
  <c r="J31" i="7"/>
  <c r="K37" i="7"/>
  <c r="K35" i="7"/>
  <c r="K30" i="7"/>
  <c r="J30" i="7"/>
  <c r="I15" i="7"/>
  <c r="K26" i="7"/>
  <c r="J19" i="7"/>
  <c r="I23" i="7"/>
  <c r="K15" i="7"/>
  <c r="I17" i="7"/>
  <c r="I21" i="7"/>
  <c r="I25" i="7"/>
  <c r="K18" i="7"/>
  <c r="I22" i="7"/>
  <c r="I11" i="7"/>
  <c r="I9" i="7"/>
  <c r="M9" i="7" s="1"/>
  <c r="I13" i="7"/>
  <c r="J13" i="7"/>
  <c r="I12" i="7"/>
  <c r="I4" i="7"/>
  <c r="J12" i="7"/>
  <c r="I14" i="7"/>
  <c r="J27" i="22"/>
  <c r="J33" i="22"/>
  <c r="K31" i="22"/>
  <c r="I36" i="22"/>
  <c r="M36" i="22" s="1"/>
  <c r="K38" i="22"/>
  <c r="I27" i="22"/>
  <c r="J34" i="22"/>
  <c r="I28" i="22"/>
  <c r="K30" i="22"/>
  <c r="K35" i="22"/>
  <c r="I35" i="22"/>
  <c r="M35" i="22" s="1"/>
  <c r="J18" i="22"/>
  <c r="J23" i="22"/>
  <c r="I17" i="22"/>
  <c r="I18" i="22"/>
  <c r="J15" i="22"/>
  <c r="J17" i="22"/>
  <c r="K15" i="22"/>
  <c r="I20" i="22"/>
  <c r="K22" i="22"/>
  <c r="J24" i="22"/>
  <c r="I19" i="22"/>
  <c r="J11" i="22"/>
  <c r="J10" i="22"/>
  <c r="M10" i="22" s="1"/>
  <c r="I9" i="22"/>
  <c r="M9" i="22" s="1"/>
  <c r="I10" i="22"/>
  <c r="J9" i="22"/>
  <c r="I12" i="22"/>
  <c r="M12" i="22" s="1"/>
  <c r="K14" i="22"/>
  <c r="K30" i="25"/>
  <c r="J27" i="25"/>
  <c r="J32" i="25"/>
  <c r="J19" i="25"/>
  <c r="M40" i="25"/>
  <c r="K14" i="25"/>
  <c r="I6" i="25"/>
  <c r="I36" i="26"/>
  <c r="I38" i="26"/>
  <c r="M40" i="26"/>
  <c r="K37" i="26"/>
  <c r="I20" i="26"/>
  <c r="I22" i="26"/>
  <c r="K21" i="26"/>
  <c r="K5" i="26"/>
  <c r="K9" i="26"/>
  <c r="I26" i="26"/>
  <c r="I18" i="26"/>
  <c r="O18" i="26" s="1"/>
  <c r="I4" i="26"/>
  <c r="O4" i="26" s="1"/>
  <c r="J38" i="26"/>
  <c r="K8" i="26"/>
  <c r="I30" i="26"/>
  <c r="I34" i="26"/>
  <c r="K11" i="26"/>
  <c r="K12" i="26"/>
  <c r="I32" i="26"/>
  <c r="I6" i="26"/>
  <c r="K24" i="26"/>
  <c r="I10" i="26"/>
  <c r="I14" i="26"/>
  <c r="O14" i="26" s="1"/>
  <c r="K27" i="26"/>
  <c r="K28" i="26"/>
  <c r="K22" i="26"/>
  <c r="K7" i="26"/>
  <c r="K23" i="26"/>
  <c r="K6" i="26"/>
  <c r="J28" i="26"/>
  <c r="K17" i="26"/>
  <c r="K18" i="26"/>
  <c r="K33" i="26"/>
  <c r="J34" i="26"/>
  <c r="K15" i="26"/>
  <c r="K16" i="26"/>
  <c r="I28" i="26"/>
  <c r="K31" i="26"/>
  <c r="K32" i="26"/>
  <c r="K10" i="26"/>
  <c r="K25" i="26"/>
  <c r="K26" i="26"/>
  <c r="K3" i="26"/>
  <c r="K4" i="26"/>
  <c r="K19" i="26"/>
  <c r="K13" i="26"/>
  <c r="K14" i="26"/>
  <c r="K29" i="26"/>
  <c r="K30" i="26"/>
  <c r="G40" i="26"/>
  <c r="J4" i="26"/>
  <c r="J6" i="26"/>
  <c r="O6" i="26" s="1"/>
  <c r="J8" i="26"/>
  <c r="O8" i="26" s="1"/>
  <c r="J10" i="26"/>
  <c r="O10" i="26" s="1"/>
  <c r="J12" i="26"/>
  <c r="J14" i="26"/>
  <c r="J16" i="26"/>
  <c r="J18" i="26"/>
  <c r="J20" i="26"/>
  <c r="J22" i="26"/>
  <c r="J24" i="26"/>
  <c r="J26" i="26"/>
  <c r="J30" i="26"/>
  <c r="J32" i="26"/>
  <c r="J36" i="26"/>
  <c r="R40" i="26"/>
  <c r="K20" i="26"/>
  <c r="K34" i="26"/>
  <c r="K36" i="26"/>
  <c r="K38" i="26"/>
  <c r="I3" i="26"/>
  <c r="I5" i="26"/>
  <c r="O5" i="26" s="1"/>
  <c r="I7" i="26"/>
  <c r="I9" i="26"/>
  <c r="I11" i="26"/>
  <c r="O11" i="26" s="1"/>
  <c r="I13" i="26"/>
  <c r="O13" i="26" s="1"/>
  <c r="I15" i="26"/>
  <c r="I17" i="26"/>
  <c r="I19" i="26"/>
  <c r="I21" i="26"/>
  <c r="I23" i="26"/>
  <c r="I25" i="26"/>
  <c r="I27" i="26"/>
  <c r="I29" i="26"/>
  <c r="I31" i="26"/>
  <c r="I33" i="26"/>
  <c r="I35" i="26"/>
  <c r="I37" i="26"/>
  <c r="J3" i="26"/>
  <c r="J5" i="26"/>
  <c r="J7" i="26"/>
  <c r="J9" i="26"/>
  <c r="O9" i="26" s="1"/>
  <c r="J11" i="26"/>
  <c r="J13" i="26"/>
  <c r="J15" i="26"/>
  <c r="J17" i="26"/>
  <c r="J19" i="26"/>
  <c r="J21" i="26"/>
  <c r="J23" i="26"/>
  <c r="J25" i="26"/>
  <c r="J27" i="26"/>
  <c r="J29" i="26"/>
  <c r="J31" i="26"/>
  <c r="J33" i="26"/>
  <c r="J35" i="26"/>
  <c r="J37" i="26"/>
  <c r="K35" i="26"/>
  <c r="K33" i="25"/>
  <c r="K24" i="25"/>
  <c r="K38" i="25"/>
  <c r="K6" i="25"/>
  <c r="J11" i="25"/>
  <c r="K29" i="25"/>
  <c r="J35" i="25"/>
  <c r="K10" i="25"/>
  <c r="O10" i="25" s="1"/>
  <c r="I14" i="25"/>
  <c r="O14" i="25" s="1"/>
  <c r="J17" i="25"/>
  <c r="K22" i="25"/>
  <c r="K32" i="25"/>
  <c r="I3" i="25"/>
  <c r="K19" i="25"/>
  <c r="J22" i="25"/>
  <c r="I4" i="25"/>
  <c r="J9" i="25"/>
  <c r="J14" i="25"/>
  <c r="K26" i="25"/>
  <c r="K34" i="25"/>
  <c r="J38" i="25"/>
  <c r="I11" i="25"/>
  <c r="O11" i="25" s="1"/>
  <c r="K21" i="25"/>
  <c r="K7" i="25"/>
  <c r="I12" i="25"/>
  <c r="O12" i="25" s="1"/>
  <c r="J16" i="25"/>
  <c r="I22" i="25"/>
  <c r="J3" i="25"/>
  <c r="K8" i="25"/>
  <c r="I30" i="25"/>
  <c r="K37" i="25"/>
  <c r="I38" i="25"/>
  <c r="O38" i="25" s="1"/>
  <c r="K3" i="25"/>
  <c r="K5" i="25"/>
  <c r="I19" i="25"/>
  <c r="J24" i="25"/>
  <c r="R40" i="25"/>
  <c r="I20" i="25"/>
  <c r="J25" i="25"/>
  <c r="J33" i="25"/>
  <c r="J6" i="25"/>
  <c r="K11" i="25"/>
  <c r="K13" i="25"/>
  <c r="K16" i="25"/>
  <c r="K18" i="25"/>
  <c r="I27" i="25"/>
  <c r="I28" i="25"/>
  <c r="I35" i="25"/>
  <c r="I36" i="25"/>
  <c r="I17" i="25"/>
  <c r="O17" i="25" s="1"/>
  <c r="I25" i="25"/>
  <c r="K27" i="25"/>
  <c r="J30" i="25"/>
  <c r="I33" i="25"/>
  <c r="K35" i="25"/>
  <c r="G40" i="25"/>
  <c r="I9" i="25"/>
  <c r="J4" i="25"/>
  <c r="I7" i="25"/>
  <c r="O7" i="25" s="1"/>
  <c r="K9" i="25"/>
  <c r="J12" i="25"/>
  <c r="I15" i="25"/>
  <c r="K17" i="25"/>
  <c r="J20" i="25"/>
  <c r="I23" i="25"/>
  <c r="K25" i="25"/>
  <c r="J28" i="25"/>
  <c r="I31" i="25"/>
  <c r="J36" i="25"/>
  <c r="K4" i="25"/>
  <c r="J7" i="25"/>
  <c r="I10" i="25"/>
  <c r="K12" i="25"/>
  <c r="J15" i="25"/>
  <c r="I18" i="25"/>
  <c r="K20" i="25"/>
  <c r="J23" i="25"/>
  <c r="I26" i="25"/>
  <c r="K28" i="25"/>
  <c r="J31" i="25"/>
  <c r="I34" i="25"/>
  <c r="K36" i="25"/>
  <c r="I5" i="25"/>
  <c r="J10" i="25"/>
  <c r="I13" i="25"/>
  <c r="O13" i="25" s="1"/>
  <c r="K15" i="25"/>
  <c r="J18" i="25"/>
  <c r="I21" i="25"/>
  <c r="K23" i="25"/>
  <c r="J26" i="25"/>
  <c r="I29" i="25"/>
  <c r="K31" i="25"/>
  <c r="J34" i="25"/>
  <c r="I37" i="25"/>
  <c r="J5" i="25"/>
  <c r="I8" i="25"/>
  <c r="O8" i="25" s="1"/>
  <c r="J13" i="25"/>
  <c r="I16" i="25"/>
  <c r="J21" i="25"/>
  <c r="I24" i="25"/>
  <c r="J29" i="25"/>
  <c r="I32" i="25"/>
  <c r="O32" i="25" s="1"/>
  <c r="J37" i="25"/>
  <c r="I3" i="22"/>
  <c r="K3" i="22"/>
  <c r="J4" i="22"/>
  <c r="M4" i="22" s="1"/>
  <c r="I5" i="22"/>
  <c r="M5" i="22" s="1"/>
  <c r="K11" i="22"/>
  <c r="J12" i="22"/>
  <c r="I13" i="22"/>
  <c r="K19" i="22"/>
  <c r="J20" i="22"/>
  <c r="I21" i="22"/>
  <c r="K27" i="22"/>
  <c r="J28" i="22"/>
  <c r="I29" i="22"/>
  <c r="M29" i="22" s="1"/>
  <c r="J36" i="22"/>
  <c r="I37" i="22"/>
  <c r="M37" i="22" s="1"/>
  <c r="K4" i="22"/>
  <c r="J5" i="22"/>
  <c r="I6" i="22"/>
  <c r="K12" i="22"/>
  <c r="J13" i="22"/>
  <c r="I14" i="22"/>
  <c r="M14" i="22" s="1"/>
  <c r="K20" i="22"/>
  <c r="J21" i="22"/>
  <c r="I22" i="22"/>
  <c r="K28" i="22"/>
  <c r="J29" i="22"/>
  <c r="I30" i="22"/>
  <c r="M30" i="22" s="1"/>
  <c r="K36" i="22"/>
  <c r="J37" i="22"/>
  <c r="I38" i="22"/>
  <c r="K5" i="22"/>
  <c r="J6" i="22"/>
  <c r="I7" i="22"/>
  <c r="M7" i="22" s="1"/>
  <c r="K13" i="22"/>
  <c r="M13" i="22" s="1"/>
  <c r="J14" i="22"/>
  <c r="I15" i="22"/>
  <c r="K21" i="22"/>
  <c r="J22" i="22"/>
  <c r="I23" i="22"/>
  <c r="M23" i="22" s="1"/>
  <c r="K29" i="22"/>
  <c r="J30" i="22"/>
  <c r="I31" i="22"/>
  <c r="K37" i="22"/>
  <c r="J38" i="22"/>
  <c r="M38" i="22" s="1"/>
  <c r="I8" i="22"/>
  <c r="M8" i="22" s="1"/>
  <c r="I16" i="22"/>
  <c r="M16" i="22" s="1"/>
  <c r="I24" i="22"/>
  <c r="I32" i="22"/>
  <c r="M32" i="22" s="1"/>
  <c r="J35" i="7"/>
  <c r="K34" i="7"/>
  <c r="I35" i="7"/>
  <c r="M35" i="7" s="1"/>
  <c r="J34" i="7"/>
  <c r="K33" i="7"/>
  <c r="J33" i="7"/>
  <c r="I38" i="7"/>
  <c r="K36" i="7"/>
  <c r="I30" i="7"/>
  <c r="K28" i="7"/>
  <c r="I31" i="7"/>
  <c r="M31" i="7" s="1"/>
  <c r="I37" i="7"/>
  <c r="M37" i="7" s="1"/>
  <c r="I29" i="7"/>
  <c r="M29" i="7" s="1"/>
  <c r="J28" i="7"/>
  <c r="K32" i="7"/>
  <c r="J32" i="7"/>
  <c r="K31" i="7"/>
  <c r="J23" i="7"/>
  <c r="K22" i="7"/>
  <c r="J22" i="7"/>
  <c r="M22" i="7" s="1"/>
  <c r="K21" i="7"/>
  <c r="K23" i="7"/>
  <c r="J21" i="7"/>
  <c r="J20" i="7"/>
  <c r="K20" i="7"/>
  <c r="I20" i="7"/>
  <c r="I19" i="7"/>
  <c r="I26" i="7"/>
  <c r="J25" i="7"/>
  <c r="K24" i="7"/>
  <c r="I18" i="7"/>
  <c r="J17" i="7"/>
  <c r="K16" i="7"/>
  <c r="K25" i="7"/>
  <c r="K17" i="7"/>
  <c r="J24" i="7"/>
  <c r="J16" i="7"/>
  <c r="M16" i="7" s="1"/>
  <c r="J26" i="7"/>
  <c r="J18" i="7"/>
  <c r="I24" i="7"/>
  <c r="I16" i="7"/>
  <c r="K19" i="7"/>
  <c r="J14" i="7"/>
  <c r="K13" i="7"/>
  <c r="K14" i="7"/>
  <c r="K9" i="7"/>
  <c r="J11" i="7"/>
  <c r="J10" i="7"/>
  <c r="J9" i="7"/>
  <c r="K11" i="7"/>
  <c r="K10" i="7"/>
  <c r="K4" i="7"/>
  <c r="J4" i="7"/>
  <c r="M32" i="7" l="1"/>
  <c r="M4" i="7"/>
  <c r="M36" i="7"/>
  <c r="M10" i="7"/>
  <c r="M34" i="7"/>
  <c r="M13" i="7"/>
  <c r="M15" i="7"/>
  <c r="M33" i="7"/>
  <c r="M11" i="7"/>
  <c r="M28" i="7"/>
  <c r="M14" i="7"/>
  <c r="M30" i="7"/>
  <c r="M38" i="7"/>
  <c r="M12" i="7"/>
  <c r="O24" i="26"/>
  <c r="O25" i="26"/>
  <c r="O16" i="26"/>
  <c r="O27" i="26"/>
  <c r="O32" i="26"/>
  <c r="O16" i="25"/>
  <c r="O27" i="25"/>
  <c r="O34" i="25"/>
  <c r="O24" i="25"/>
  <c r="P24" i="25" s="1"/>
  <c r="O21" i="25"/>
  <c r="P21" i="25" s="1"/>
  <c r="O35" i="25"/>
  <c r="M22" i="22"/>
  <c r="M24" i="22"/>
  <c r="M18" i="22"/>
  <c r="M17" i="22"/>
  <c r="M19" i="22"/>
  <c r="M23" i="7"/>
  <c r="M24" i="7"/>
  <c r="M25" i="7"/>
  <c r="O26" i="26"/>
  <c r="P26" i="26" s="1"/>
  <c r="O38" i="26"/>
  <c r="O23" i="26"/>
  <c r="O36" i="26"/>
  <c r="P36" i="26" s="1"/>
  <c r="O37" i="26"/>
  <c r="P37" i="26" s="1"/>
  <c r="O21" i="26"/>
  <c r="P21" i="26" s="1"/>
  <c r="O34" i="26"/>
  <c r="O35" i="26"/>
  <c r="P35" i="26" s="1"/>
  <c r="O19" i="26"/>
  <c r="P19" i="26" s="1"/>
  <c r="O3" i="26"/>
  <c r="O30" i="26"/>
  <c r="O33" i="26"/>
  <c r="O17" i="26"/>
  <c r="P17" i="26" s="1"/>
  <c r="O22" i="26"/>
  <c r="P22" i="26" s="1"/>
  <c r="O31" i="26"/>
  <c r="P31" i="26" s="1"/>
  <c r="O15" i="26"/>
  <c r="P15" i="26" s="1"/>
  <c r="O28" i="26"/>
  <c r="P28" i="26" s="1"/>
  <c r="O20" i="26"/>
  <c r="P20" i="26" s="1"/>
  <c r="O29" i="26"/>
  <c r="O23" i="25"/>
  <c r="O36" i="25"/>
  <c r="P36" i="25" s="1"/>
  <c r="O28" i="25"/>
  <c r="P28" i="25" s="1"/>
  <c r="O26" i="25"/>
  <c r="O15" i="25"/>
  <c r="O33" i="25"/>
  <c r="O20" i="25"/>
  <c r="P20" i="25" s="1"/>
  <c r="O30" i="25"/>
  <c r="P30" i="25" s="1"/>
  <c r="O37" i="25"/>
  <c r="P37" i="25" s="1"/>
  <c r="O31" i="25"/>
  <c r="P31" i="25" s="1"/>
  <c r="O29" i="25"/>
  <c r="P29" i="25" s="1"/>
  <c r="O18" i="25"/>
  <c r="P18" i="25" s="1"/>
  <c r="O25" i="25"/>
  <c r="P25" i="25" s="1"/>
  <c r="O19" i="25"/>
  <c r="P19" i="25" s="1"/>
  <c r="O22" i="25"/>
  <c r="P22" i="25" s="1"/>
  <c r="P30" i="26"/>
  <c r="P14" i="26"/>
  <c r="P8" i="26"/>
  <c r="P7" i="26"/>
  <c r="P6" i="26"/>
  <c r="O3" i="25"/>
  <c r="P3" i="25" s="1"/>
  <c r="P7" i="25"/>
  <c r="P16" i="25"/>
  <c r="P23" i="25"/>
  <c r="P12" i="25"/>
  <c r="P14" i="25"/>
  <c r="P8" i="25"/>
  <c r="P10" i="25"/>
  <c r="P35" i="25"/>
  <c r="P38" i="25"/>
  <c r="P4" i="25"/>
  <c r="M3" i="22"/>
  <c r="M18" i="7"/>
  <c r="M21" i="7"/>
  <c r="M26" i="7"/>
  <c r="M17" i="7"/>
  <c r="M15" i="22"/>
  <c r="P27" i="25"/>
  <c r="P16" i="26"/>
  <c r="P18" i="26"/>
  <c r="P5" i="26"/>
  <c r="K40" i="26"/>
  <c r="P24" i="26"/>
  <c r="P23" i="26"/>
  <c r="P12" i="26"/>
  <c r="P29" i="26"/>
  <c r="P13" i="26"/>
  <c r="P4" i="26"/>
  <c r="P27" i="26"/>
  <c r="P11" i="26"/>
  <c r="P33" i="26"/>
  <c r="P25" i="26"/>
  <c r="P10" i="26"/>
  <c r="P38" i="26"/>
  <c r="P9" i="26"/>
  <c r="I40" i="26"/>
  <c r="J40" i="26"/>
  <c r="P32" i="26"/>
  <c r="P34" i="26"/>
  <c r="P9" i="25"/>
  <c r="K40" i="25"/>
  <c r="P15" i="25"/>
  <c r="P11" i="25"/>
  <c r="P17" i="25"/>
  <c r="P6" i="25"/>
  <c r="P26" i="25"/>
  <c r="P33" i="25"/>
  <c r="P34" i="25"/>
  <c r="I40" i="25"/>
  <c r="J40" i="25"/>
  <c r="P32" i="25"/>
  <c r="P13" i="25"/>
  <c r="M21" i="22"/>
  <c r="M20" i="22"/>
  <c r="M20" i="7"/>
  <c r="M19" i="7"/>
  <c r="O40" i="26" l="1"/>
  <c r="P3" i="26"/>
  <c r="O40" i="25"/>
  <c r="P5" i="25"/>
  <c r="P40" i="25" s="1"/>
  <c r="D7" i="11" s="1"/>
  <c r="C7" i="11" l="1"/>
  <c r="P40" i="26"/>
  <c r="D8" i="11" s="1"/>
  <c r="C8" i="11"/>
  <c r="A35" i="22"/>
  <c r="A36" i="22"/>
  <c r="A37" i="22"/>
  <c r="A38" i="22"/>
  <c r="A4" i="22"/>
  <c r="A5" i="22"/>
  <c r="A6" i="22"/>
  <c r="A7" i="22"/>
  <c r="A8" i="22"/>
  <c r="A9" i="22"/>
  <c r="A10" i="22"/>
  <c r="A11" i="22"/>
  <c r="A12" i="22"/>
  <c r="A13" i="22"/>
  <c r="A14" i="22"/>
  <c r="A15" i="22"/>
  <c r="A16" i="22"/>
  <c r="A17" i="22"/>
  <c r="A18" i="22"/>
  <c r="A19" i="22"/>
  <c r="A20" i="22"/>
  <c r="A21" i="22"/>
  <c r="A22" i="22"/>
  <c r="A23" i="22"/>
  <c r="A24" i="22"/>
  <c r="A25" i="22"/>
  <c r="A26" i="22"/>
  <c r="A27" i="22"/>
  <c r="A28" i="22"/>
  <c r="A29" i="22"/>
  <c r="A30" i="22"/>
  <c r="A31" i="22"/>
  <c r="A32" i="22"/>
  <c r="A33" i="22"/>
  <c r="A34" i="22"/>
  <c r="A3" i="22"/>
  <c r="B40" i="7" l="1"/>
  <c r="B40" i="22"/>
  <c r="P8" i="22"/>
  <c r="L40" i="22" l="1"/>
  <c r="P3" i="22"/>
  <c r="G40" i="22"/>
  <c r="L40" i="7"/>
  <c r="P40" i="22"/>
  <c r="N33" i="22" l="1"/>
  <c r="N36" i="22"/>
  <c r="N23" i="22"/>
  <c r="N14" i="22"/>
  <c r="N6" i="22"/>
  <c r="N10" i="22"/>
  <c r="N30" i="22"/>
  <c r="N22" i="22"/>
  <c r="N27" i="22"/>
  <c r="N18" i="22"/>
  <c r="N34" i="22"/>
  <c r="N29" i="7"/>
  <c r="N20" i="7"/>
  <c r="N5" i="22"/>
  <c r="N26" i="22"/>
  <c r="I40" i="22"/>
  <c r="J40" i="22"/>
  <c r="N21" i="22"/>
  <c r="K40" i="22"/>
  <c r="N25" i="22"/>
  <c r="N17" i="22"/>
  <c r="N15" i="22"/>
  <c r="N19" i="22"/>
  <c r="N32" i="22"/>
  <c r="N8" i="22"/>
  <c r="N37" i="22"/>
  <c r="N38" i="22"/>
  <c r="N31" i="22"/>
  <c r="N11" i="22"/>
  <c r="N16" i="22"/>
  <c r="N28" i="22"/>
  <c r="N20" i="22"/>
  <c r="N12" i="22"/>
  <c r="N29" i="22"/>
  <c r="N13" i="22"/>
  <c r="N9" i="22"/>
  <c r="N7" i="22"/>
  <c r="N4" i="22"/>
  <c r="N35" i="22"/>
  <c r="N24" i="22"/>
  <c r="N26" i="7"/>
  <c r="N22" i="7"/>
  <c r="N34" i="7"/>
  <c r="N38" i="7"/>
  <c r="N21" i="7"/>
  <c r="N23" i="7"/>
  <c r="N24" i="7"/>
  <c r="N36" i="7"/>
  <c r="N28" i="7"/>
  <c r="N37" i="7"/>
  <c r="N32" i="7"/>
  <c r="N30" i="7"/>
  <c r="N31" i="7"/>
  <c r="N35" i="7"/>
  <c r="N33" i="7"/>
  <c r="N25" i="7"/>
  <c r="N27" i="7"/>
  <c r="N3" i="22" l="1"/>
  <c r="N40" i="22" s="1"/>
  <c r="D6" i="11" s="1"/>
  <c r="M40" i="22"/>
  <c r="C6" i="11" l="1"/>
  <c r="D3" i="7"/>
  <c r="P8" i="7" l="1"/>
  <c r="I8" i="7"/>
  <c r="P3" i="7"/>
  <c r="G40" i="7" l="1"/>
  <c r="J8" i="7"/>
  <c r="I3" i="7"/>
  <c r="K8" i="7"/>
  <c r="J3" i="7"/>
  <c r="K3" i="7"/>
  <c r="M8" i="7" l="1"/>
  <c r="M3" i="7"/>
  <c r="J40" i="7"/>
  <c r="N5" i="7"/>
  <c r="N6" i="7"/>
  <c r="K40" i="7"/>
  <c r="I40" i="7"/>
  <c r="N12" i="7"/>
  <c r="N4" i="7"/>
  <c r="N9" i="7"/>
  <c r="N10" i="7"/>
  <c r="N11" i="7"/>
  <c r="N13" i="7"/>
  <c r="N7" i="7"/>
  <c r="N3" i="7" l="1"/>
  <c r="P40" i="7" l="1"/>
  <c r="N16" i="7"/>
  <c r="N17" i="7"/>
  <c r="N15" i="7"/>
  <c r="N18" i="7"/>
  <c r="N19" i="7"/>
  <c r="N14" i="7" l="1"/>
  <c r="M40" i="7"/>
  <c r="N8" i="7"/>
  <c r="N40" i="7" l="1"/>
  <c r="D5" i="11" s="1"/>
  <c r="C5" i="11"/>
</calcChain>
</file>

<file path=xl/sharedStrings.xml><?xml version="1.0" encoding="utf-8"?>
<sst xmlns="http://schemas.openxmlformats.org/spreadsheetml/2006/main" count="380" uniqueCount="52">
  <si>
    <t>Historical Period (January 2020-December 2022)</t>
  </si>
  <si>
    <t>Type of Customer</t>
  </si>
  <si>
    <t>Historical Period Average Monthly Bill</t>
  </si>
  <si>
    <t>Percent of Monthly Bill Attributable to Fuel Costs</t>
  </si>
  <si>
    <t>Municipal-Residential</t>
  </si>
  <si>
    <t>County-Residential</t>
  </si>
  <si>
    <t>Municipal-Residential, Eligible for Low-Income Senior Discount</t>
  </si>
  <si>
    <t>County-Residential, Eligible for Low-Income Senior Discount</t>
  </si>
  <si>
    <t>Notes:</t>
  </si>
  <si>
    <t>Bills based on typical customer averaging 1,000 kWh per month</t>
  </si>
  <si>
    <t>"Historical Period Average Monthly Bill" calculates the average monthly bill for the period from January 2020-December 2022</t>
  </si>
  <si>
    <t xml:space="preserve">"Percent of Monthly Bill Attributable to Fuel Costs" includes FCR charges, Franchise Fee on FCR charges, and Senior Citizen fuel discount if applicable. </t>
  </si>
  <si>
    <t>Historic Period (January 2020-December 2022) Inside City Limits</t>
  </si>
  <si>
    <t>Month</t>
  </si>
  <si>
    <t>kWh Usage</t>
  </si>
  <si>
    <t>Base Charge</t>
  </si>
  <si>
    <t>First 650  kWh</t>
  </si>
  <si>
    <t>Next 350 kWh</t>
  </si>
  <si>
    <t>Over 1000 kWh</t>
  </si>
  <si>
    <t>ECCR</t>
  </si>
  <si>
    <t>DSM</t>
  </si>
  <si>
    <t>NCCR</t>
  </si>
  <si>
    <t>FCR</t>
  </si>
  <si>
    <t>Municipal Franchise Fee</t>
  </si>
  <si>
    <t>Total Bill</t>
  </si>
  <si>
    <t>MFF on FCR</t>
  </si>
  <si>
    <t>Grand Total:</t>
  </si>
  <si>
    <t>Base:</t>
  </si>
  <si>
    <t>Price Inputs - 2020 Jan-May</t>
  </si>
  <si>
    <t>Base Charge:</t>
  </si>
  <si>
    <t>FCR-24</t>
  </si>
  <si>
    <t>Winter First 650 kWh:</t>
  </si>
  <si>
    <t>Winter:</t>
  </si>
  <si>
    <t>Winter Next 350 kWh:</t>
  </si>
  <si>
    <t>Summer:</t>
  </si>
  <si>
    <t>Winter Over 1000 kWh:</t>
  </si>
  <si>
    <t>ECCR:</t>
  </si>
  <si>
    <t>Summer First 650 kWh:</t>
  </si>
  <si>
    <t>MFF:</t>
  </si>
  <si>
    <t>Summer Next 350 kWh:</t>
  </si>
  <si>
    <t>Summer Over 1000 kWh:</t>
  </si>
  <si>
    <t>NCCR:</t>
  </si>
  <si>
    <t>Price Inputs - 2020 Jun-Sep</t>
  </si>
  <si>
    <t>FCR-25 IFR-3</t>
  </si>
  <si>
    <t>Price Inputs - 2020 Oct-Dec</t>
  </si>
  <si>
    <t>FCR-25</t>
  </si>
  <si>
    <t>Price Inputs - 2021 Jan-Dec</t>
  </si>
  <si>
    <t>Price Inputs - 2022 Jan-Dec</t>
  </si>
  <si>
    <t>FCR-25 IFR-4</t>
  </si>
  <si>
    <t>Historic Period (January 2020-December 2022) Outside City Limits</t>
  </si>
  <si>
    <t>Base Sr. Discount</t>
  </si>
  <si>
    <t>FCR Sr. Discount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</si>
</sst>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.000000_);_(&quot;$&quot;* \(#,##0.000000\);_(&quot;$&quot;* &quot;-&quot;??_);_(@_)"/>
    <numFmt numFmtId="166" formatCode="0.00000%"/>
    <numFmt numFmtId="167" formatCode="0.0%"/>
    <numFmt numFmtId="168" formatCode="_(&quot;$&quot;* #,##0.0000000_);_(&quot;$&quot;* \(#,##0.0000000\);_(&quot;$&quot;* &quot;-&quot;??_);_(@_)"/>
    <numFmt numFmtId="169" formatCode="0.0000%"/>
    <numFmt numFmtId="170" formatCode="[$-409]mmmm\-yy;@"/>
  </numFmts>
  <fonts count="15" x14ac:knownFonts="1">
    <font>
      <sz val="10"/>
      <name val="Arial"/>
    </font>
    <font>
      <sz val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indexed="18"/>
      <name val="Calibri"/>
      <family val="2"/>
      <scheme val="minor"/>
    </font>
    <font>
      <sz val="6"/>
      <color indexed="55"/>
      <name val="Calibri"/>
      <family val="2"/>
      <scheme val="minor"/>
    </font>
    <font>
      <sz val="10"/>
      <color indexed="18"/>
      <name val="Calibri"/>
      <family val="2"/>
      <scheme val="minor"/>
    </font>
    <font>
      <sz val="6"/>
      <name val="Calibri"/>
      <family val="2"/>
      <scheme val="minor"/>
    </font>
    <font>
      <u val="singleAccounting"/>
      <sz val="10"/>
      <name val="Calibri"/>
      <family val="2"/>
      <scheme val="minor"/>
    </font>
    <font>
      <u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9">
    <xf numFmtId="0" fontId="0" fillId="0" borderId="0" xfId="0"/>
    <xf numFmtId="0" fontId="5" fillId="0" borderId="0" xfId="0" applyFont="1"/>
    <xf numFmtId="0" fontId="6" fillId="0" borderId="0" xfId="0" applyFont="1"/>
    <xf numFmtId="0" fontId="6" fillId="3" borderId="9" xfId="0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 wrapText="1"/>
    </xf>
    <xf numFmtId="0" fontId="5" fillId="0" borderId="9" xfId="0" applyFont="1" applyBorder="1"/>
    <xf numFmtId="10" fontId="5" fillId="0" borderId="9" xfId="4" applyNumberFormat="1" applyFont="1" applyBorder="1" applyAlignment="1">
      <alignment horizontal="center"/>
    </xf>
    <xf numFmtId="0" fontId="7" fillId="0" borderId="0" xfId="0" applyFont="1"/>
    <xf numFmtId="0" fontId="8" fillId="0" borderId="0" xfId="3" applyFont="1"/>
    <xf numFmtId="0" fontId="5" fillId="0" borderId="0" xfId="3" applyFont="1"/>
    <xf numFmtId="44" fontId="5" fillId="0" borderId="0" xfId="3" applyNumberFormat="1" applyFont="1"/>
    <xf numFmtId="0" fontId="6" fillId="0" borderId="0" xfId="3" applyFont="1" applyAlignment="1">
      <alignment horizontal="center" wrapText="1"/>
    </xf>
    <xf numFmtId="0" fontId="9" fillId="0" borderId="0" xfId="3" applyFont="1" applyAlignment="1">
      <alignment horizontal="center" wrapText="1"/>
    </xf>
    <xf numFmtId="164" fontId="5" fillId="0" borderId="0" xfId="1" applyNumberFormat="1" applyFont="1" applyBorder="1"/>
    <xf numFmtId="167" fontId="10" fillId="0" borderId="0" xfId="4" applyNumberFormat="1" applyFont="1" applyBorder="1"/>
    <xf numFmtId="44" fontId="11" fillId="0" borderId="0" xfId="3" applyNumberFormat="1" applyFont="1"/>
    <xf numFmtId="9" fontId="12" fillId="0" borderId="0" xfId="3" applyNumberFormat="1" applyFont="1"/>
    <xf numFmtId="1" fontId="5" fillId="0" borderId="0" xfId="3" applyNumberFormat="1" applyFont="1"/>
    <xf numFmtId="0" fontId="6" fillId="2" borderId="8" xfId="3" applyFont="1" applyFill="1" applyBorder="1"/>
    <xf numFmtId="0" fontId="5" fillId="2" borderId="6" xfId="3" applyFont="1" applyFill="1" applyBorder="1"/>
    <xf numFmtId="0" fontId="5" fillId="2" borderId="7" xfId="3" applyFont="1" applyFill="1" applyBorder="1"/>
    <xf numFmtId="44" fontId="13" fillId="0" borderId="0" xfId="3" applyNumberFormat="1" applyFont="1"/>
    <xf numFmtId="165" fontId="13" fillId="0" borderId="0" xfId="3" applyNumberFormat="1" applyFont="1"/>
    <xf numFmtId="0" fontId="13" fillId="0" borderId="0" xfId="3" applyFont="1"/>
    <xf numFmtId="0" fontId="5" fillId="0" borderId="1" xfId="3" applyFont="1" applyBorder="1"/>
    <xf numFmtId="14" fontId="5" fillId="0" borderId="0" xfId="3" applyNumberFormat="1" applyFont="1"/>
    <xf numFmtId="0" fontId="6" fillId="0" borderId="0" xfId="3" applyFont="1"/>
    <xf numFmtId="14" fontId="6" fillId="0" borderId="0" xfId="3" applyNumberFormat="1" applyFont="1"/>
    <xf numFmtId="0" fontId="5" fillId="0" borderId="3" xfId="3" applyFont="1" applyBorder="1"/>
    <xf numFmtId="166" fontId="5" fillId="0" borderId="0" xfId="4" applyNumberFormat="1" applyFont="1" applyBorder="1"/>
    <xf numFmtId="44" fontId="5" fillId="0" borderId="0" xfId="2" applyFont="1" applyBorder="1"/>
    <xf numFmtId="169" fontId="5" fillId="0" borderId="0" xfId="4" applyNumberFormat="1" applyFont="1" applyBorder="1"/>
    <xf numFmtId="166" fontId="5" fillId="0" borderId="0" xfId="4" applyNumberFormat="1" applyFont="1"/>
    <xf numFmtId="164" fontId="5" fillId="0" borderId="0" xfId="3" applyNumberFormat="1" applyFont="1"/>
    <xf numFmtId="170" fontId="5" fillId="0" borderId="0" xfId="3" applyNumberFormat="1" applyFont="1" applyAlignment="1">
      <alignment horizontal="left"/>
    </xf>
    <xf numFmtId="44" fontId="5" fillId="0" borderId="9" xfId="0" applyNumberFormat="1" applyFont="1" applyBorder="1" applyAlignment="1">
      <alignment horizontal="center"/>
    </xf>
    <xf numFmtId="9" fontId="5" fillId="0" borderId="0" xfId="4" applyFont="1"/>
    <xf numFmtId="0" fontId="5" fillId="0" borderId="0" xfId="0" applyFont="1" applyAlignment="1">
      <alignment horizontal="right"/>
    </xf>
    <xf numFmtId="44" fontId="5" fillId="0" borderId="0" xfId="2" applyFont="1"/>
    <xf numFmtId="44" fontId="14" fillId="0" borderId="0" xfId="2" applyFont="1"/>
    <xf numFmtId="44" fontId="13" fillId="0" borderId="0" xfId="2" applyFont="1"/>
    <xf numFmtId="44" fontId="5" fillId="0" borderId="0" xfId="0" applyNumberFormat="1" applyFont="1"/>
    <xf numFmtId="0" fontId="14" fillId="0" borderId="0" xfId="0" applyFont="1" applyAlignment="1">
      <alignment horizontal="center"/>
    </xf>
    <xf numFmtId="10" fontId="5" fillId="0" borderId="0" xfId="4" applyNumberFormat="1" applyFont="1"/>
    <xf numFmtId="0" fontId="5" fillId="0" borderId="8" xfId="3" applyFont="1" applyBorder="1" applyAlignment="1">
      <alignment horizontal="left"/>
    </xf>
    <xf numFmtId="0" fontId="5" fillId="0" borderId="6" xfId="3" applyFont="1" applyBorder="1" applyAlignment="1">
      <alignment horizontal="left"/>
    </xf>
    <xf numFmtId="0" fontId="5" fillId="0" borderId="5" xfId="3" applyFont="1" applyBorder="1" applyAlignment="1">
      <alignment horizontal="left"/>
    </xf>
    <xf numFmtId="0" fontId="5" fillId="0" borderId="3" xfId="3" applyFont="1" applyBorder="1" applyAlignment="1">
      <alignment horizontal="left"/>
    </xf>
    <xf numFmtId="0" fontId="5" fillId="0" borderId="2" xfId="3" applyFont="1" applyBorder="1" applyAlignment="1">
      <alignment horizontal="left"/>
    </xf>
    <xf numFmtId="0" fontId="5" fillId="0" borderId="1" xfId="3" applyFont="1" applyBorder="1" applyAlignment="1">
      <alignment horizontal="left"/>
    </xf>
    <xf numFmtId="0" fontId="5" fillId="0" borderId="4" xfId="3" applyFont="1" applyBorder="1" applyAlignment="1">
      <alignment horizontal="left"/>
    </xf>
    <xf numFmtId="0" fontId="5" fillId="0" borderId="0" xfId="3" applyFont="1" applyAlignment="1">
      <alignment horizontal="left"/>
    </xf>
    <xf numFmtId="44" fontId="5" fillId="0" borderId="0" xfId="2" applyFont="1" applyFill="1" applyBorder="1"/>
    <xf numFmtId="0" fontId="5" fillId="0" borderId="0" xfId="3" applyFont="1" applyFill="1"/>
    <xf numFmtId="44" fontId="5" fillId="0" borderId="0" xfId="3" applyNumberFormat="1" applyFont="1" applyFill="1"/>
    <xf numFmtId="0" fontId="5" fillId="0" borderId="1" xfId="3" applyFont="1" applyFill="1" applyBorder="1"/>
    <xf numFmtId="44" fontId="5" fillId="0" borderId="11" xfId="2" applyFont="1" applyFill="1" applyBorder="1" applyProtection="1">
      <protection locked="0"/>
    </xf>
    <xf numFmtId="0" fontId="5" fillId="0" borderId="2" xfId="3" applyFont="1" applyFill="1" applyBorder="1"/>
    <xf numFmtId="168" fontId="5" fillId="0" borderId="11" xfId="2" applyNumberFormat="1" applyFont="1" applyFill="1" applyBorder="1"/>
    <xf numFmtId="14" fontId="5" fillId="0" borderId="0" xfId="3" applyNumberFormat="1" applyFont="1" applyFill="1"/>
    <xf numFmtId="168" fontId="5" fillId="0" borderId="11" xfId="2" applyNumberFormat="1" applyFont="1" applyFill="1" applyBorder="1" applyProtection="1">
      <protection locked="0"/>
    </xf>
    <xf numFmtId="0" fontId="5" fillId="0" borderId="4" xfId="3" applyFont="1" applyFill="1" applyBorder="1"/>
    <xf numFmtId="168" fontId="5" fillId="0" borderId="12" xfId="2" applyNumberFormat="1" applyFont="1" applyFill="1" applyBorder="1"/>
    <xf numFmtId="0" fontId="6" fillId="0" borderId="0" xfId="3" applyFont="1" applyFill="1"/>
    <xf numFmtId="14" fontId="6" fillId="0" borderId="0" xfId="3" applyNumberFormat="1" applyFont="1" applyFill="1"/>
    <xf numFmtId="168" fontId="5" fillId="0" borderId="12" xfId="2" applyNumberFormat="1" applyFont="1" applyFill="1" applyBorder="1" applyProtection="1">
      <protection locked="0"/>
    </xf>
    <xf numFmtId="0" fontId="5" fillId="0" borderId="5" xfId="3" applyFont="1" applyFill="1" applyBorder="1"/>
    <xf numFmtId="168" fontId="5" fillId="0" borderId="10" xfId="2" applyNumberFormat="1" applyFont="1" applyFill="1" applyBorder="1"/>
    <xf numFmtId="0" fontId="5" fillId="0" borderId="3" xfId="3" applyFont="1" applyFill="1" applyBorder="1"/>
    <xf numFmtId="168" fontId="5" fillId="0" borderId="10" xfId="2" applyNumberFormat="1" applyFont="1" applyFill="1" applyBorder="1" applyProtection="1">
      <protection locked="0"/>
    </xf>
    <xf numFmtId="166" fontId="5" fillId="0" borderId="11" xfId="4" applyNumberFormat="1" applyFont="1" applyFill="1" applyBorder="1"/>
    <xf numFmtId="0" fontId="5" fillId="0" borderId="8" xfId="3" applyFont="1" applyFill="1" applyBorder="1"/>
    <xf numFmtId="166" fontId="5" fillId="0" borderId="7" xfId="4" applyNumberFormat="1" applyFont="1" applyFill="1" applyBorder="1"/>
    <xf numFmtId="166" fontId="5" fillId="0" borderId="0" xfId="4" applyNumberFormat="1" applyFont="1" applyFill="1" applyBorder="1"/>
    <xf numFmtId="0" fontId="5" fillId="0" borderId="2" xfId="3" applyFont="1" applyFill="1" applyBorder="1" applyAlignment="1">
      <alignment horizontal="left"/>
    </xf>
    <xf numFmtId="0" fontId="5" fillId="0" borderId="1" xfId="3" applyFont="1" applyFill="1" applyBorder="1" applyAlignment="1">
      <alignment horizontal="left"/>
    </xf>
    <xf numFmtId="0" fontId="5" fillId="0" borderId="4" xfId="3" applyFont="1" applyFill="1" applyBorder="1" applyAlignment="1">
      <alignment horizontal="left"/>
    </xf>
    <xf numFmtId="0" fontId="5" fillId="0" borderId="0" xfId="3" applyFont="1" applyFill="1" applyAlignment="1">
      <alignment horizontal="left"/>
    </xf>
    <xf numFmtId="0" fontId="5" fillId="0" borderId="5" xfId="3" applyFont="1" applyFill="1" applyBorder="1" applyAlignment="1">
      <alignment horizontal="left"/>
    </xf>
    <xf numFmtId="0" fontId="5" fillId="0" borderId="3" xfId="3" applyFont="1" applyFill="1" applyBorder="1" applyAlignment="1">
      <alignment horizontal="left"/>
    </xf>
    <xf numFmtId="169" fontId="5" fillId="0" borderId="0" xfId="4" applyNumberFormat="1" applyFont="1" applyFill="1" applyBorder="1"/>
    <xf numFmtId="0" fontId="5" fillId="0" borderId="8" xfId="3" applyFont="1" applyFill="1" applyBorder="1" applyAlignment="1">
      <alignment horizontal="left"/>
    </xf>
    <xf numFmtId="0" fontId="5" fillId="0" borderId="6" xfId="3" applyFont="1" applyFill="1" applyBorder="1" applyAlignment="1">
      <alignment horizontal="left"/>
    </xf>
    <xf numFmtId="0" fontId="5" fillId="0" borderId="0" xfId="0" applyFont="1" applyFill="1"/>
    <xf numFmtId="166" fontId="5" fillId="0" borderId="0" xfId="4" applyNumberFormat="1" applyFont="1" applyFill="1"/>
    <xf numFmtId="170" fontId="5" fillId="0" borderId="0" xfId="3" applyNumberFormat="1" applyFont="1" applyFill="1" applyAlignment="1">
      <alignment horizontal="left"/>
    </xf>
    <xf numFmtId="164" fontId="5" fillId="0" borderId="0" xfId="1" applyNumberFormat="1" applyFont="1" applyFill="1" applyBorder="1"/>
    <xf numFmtId="167" fontId="10" fillId="0" borderId="0" xfId="4" applyNumberFormat="1" applyFont="1" applyFill="1" applyBorder="1"/>
    <xf numFmtId="44" fontId="11" fillId="0" borderId="0" xfId="3" applyNumberFormat="1" applyFont="1" applyFill="1"/>
    <xf numFmtId="164" fontId="5" fillId="0" borderId="0" xfId="3" applyNumberFormat="1" applyFont="1" applyFill="1"/>
    <xf numFmtId="9" fontId="12" fillId="0" borderId="0" xfId="3" applyNumberFormat="1" applyFont="1" applyFill="1"/>
    <xf numFmtId="1" fontId="5" fillId="0" borderId="0" xfId="3" applyNumberFormat="1" applyFont="1" applyFill="1"/>
    <xf numFmtId="0" fontId="5" fillId="0" borderId="0" xfId="0" applyFont="1" applyAlignment="1">
      <alignment horizontal="left" wrapText="1"/>
    </xf>
    <xf numFmtId="0" fontId="5" fillId="0" borderId="8" xfId="3" applyFont="1" applyFill="1" applyBorder="1" applyAlignment="1">
      <alignment horizontal="left"/>
    </xf>
    <xf numFmtId="0" fontId="5" fillId="0" borderId="6" xfId="3" applyFont="1" applyFill="1" applyBorder="1" applyAlignment="1">
      <alignment horizontal="left"/>
    </xf>
    <xf numFmtId="0" fontId="5" fillId="0" borderId="5" xfId="3" applyFont="1" applyFill="1" applyBorder="1" applyAlignment="1">
      <alignment horizontal="left"/>
    </xf>
    <xf numFmtId="0" fontId="5" fillId="0" borderId="3" xfId="3" applyFont="1" applyFill="1" applyBorder="1" applyAlignment="1">
      <alignment horizontal="left"/>
    </xf>
    <xf numFmtId="0" fontId="5" fillId="0" borderId="2" xfId="3" applyFont="1" applyFill="1" applyBorder="1" applyAlignment="1">
      <alignment horizontal="left"/>
    </xf>
    <xf numFmtId="0" fontId="5" fillId="0" borderId="1" xfId="3" applyFont="1" applyFill="1" applyBorder="1" applyAlignment="1">
      <alignment horizontal="left"/>
    </xf>
    <xf numFmtId="0" fontId="5" fillId="0" borderId="4" xfId="3" applyFont="1" applyFill="1" applyBorder="1" applyAlignment="1">
      <alignment horizontal="left"/>
    </xf>
    <xf numFmtId="0" fontId="5" fillId="0" borderId="0" xfId="3" applyFont="1" applyFill="1" applyAlignment="1">
      <alignment horizontal="left"/>
    </xf>
    <xf numFmtId="0" fontId="5" fillId="0" borderId="5" xfId="3" applyFont="1" applyBorder="1" applyAlignment="1">
      <alignment horizontal="left"/>
    </xf>
    <xf numFmtId="0" fontId="5" fillId="0" borderId="3" xfId="3" applyFont="1" applyBorder="1" applyAlignment="1">
      <alignment horizontal="left"/>
    </xf>
    <xf numFmtId="0" fontId="5" fillId="0" borderId="8" xfId="3" applyFont="1" applyBorder="1" applyAlignment="1">
      <alignment horizontal="left"/>
    </xf>
    <xf numFmtId="0" fontId="5" fillId="0" borderId="6" xfId="3" applyFont="1" applyBorder="1" applyAlignment="1">
      <alignment horizontal="left"/>
    </xf>
    <xf numFmtId="0" fontId="5" fillId="0" borderId="2" xfId="3" applyFont="1" applyBorder="1" applyAlignment="1">
      <alignment horizontal="left"/>
    </xf>
    <xf numFmtId="0" fontId="5" fillId="0" borderId="1" xfId="3" applyFont="1" applyBorder="1" applyAlignment="1">
      <alignment horizontal="left"/>
    </xf>
    <xf numFmtId="0" fontId="5" fillId="0" borderId="4" xfId="3" applyFont="1" applyBorder="1" applyAlignment="1">
      <alignment horizontal="left"/>
    </xf>
    <xf numFmtId="0" fontId="5" fillId="0" borderId="0" xfId="3" applyFont="1" applyAlignment="1">
      <alignment horizontal="left"/>
    </xf>
  </cellXfs>
  <cellStyles count="6">
    <cellStyle name="Comma" xfId="1" builtinId="3"/>
    <cellStyle name="Currency" xfId="2" builtinId="4"/>
    <cellStyle name="Currency 2 2" xfId="5" xr:uid="{00000000-0005-0000-0000-000002000000}"/>
    <cellStyle name="Normal" xfId="0" builtinId="0"/>
    <cellStyle name="Normal_R-15 calculator" xfId="3" xr:uid="{00000000-0005-0000-0000-000004000000}"/>
    <cellStyle name="Percent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uthernco.com\shared%20data\Workgroups\GPC%20Marketing\Pricing%20and%20Rates\Product%20Design\Nights%20&amp;%20Weekends%20Rate\Pricem%202006_1June%201%20GPC%20MC%20runs%20w-updated%20L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puts"/>
      <sheetName val="LS"/>
      <sheetName val="Reports"/>
      <sheetName val="RateCalc"/>
      <sheetName val="C&amp;I Rev Calc"/>
      <sheetName val="Data"/>
      <sheetName val="Calc"/>
      <sheetName val="Charts"/>
      <sheetName val="CBL Shaping"/>
      <sheetName val="RTP"/>
      <sheetName val="Load Shaping"/>
      <sheetName val="Output"/>
      <sheetName val="GPC Fin"/>
      <sheetName val="APC Tax"/>
      <sheetName val="Version No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D27"/>
  <sheetViews>
    <sheetView tabSelected="1" zoomScaleNormal="100" workbookViewId="0"/>
  </sheetViews>
  <sheetFormatPr defaultColWidth="9.109375" defaultRowHeight="13.8" x14ac:dyDescent="0.3"/>
  <cols>
    <col min="1" max="1" width="3.33203125" style="1" customWidth="1"/>
    <col min="2" max="2" width="53.33203125" style="1" customWidth="1"/>
    <col min="3" max="3" width="22.88671875" style="1" customWidth="1"/>
    <col min="4" max="4" width="24.33203125" style="1" customWidth="1"/>
    <col min="5" max="16384" width="9.109375" style="1"/>
  </cols>
  <sheetData>
    <row r="1" spans="2:4" ht="22.95" customHeight="1" x14ac:dyDescent="0.3"/>
    <row r="2" spans="2:4" x14ac:dyDescent="0.3">
      <c r="B2" s="2" t="s">
        <v>0</v>
      </c>
    </row>
    <row r="3" spans="2:4" ht="9" customHeight="1" x14ac:dyDescent="0.3">
      <c r="B3" s="2"/>
    </row>
    <row r="4" spans="2:4" ht="27.6" x14ac:dyDescent="0.3">
      <c r="B4" s="3" t="s">
        <v>1</v>
      </c>
      <c r="C4" s="4" t="s">
        <v>2</v>
      </c>
      <c r="D4" s="4" t="s">
        <v>3</v>
      </c>
    </row>
    <row r="5" spans="2:4" x14ac:dyDescent="0.3">
      <c r="B5" s="5" t="s">
        <v>4</v>
      </c>
      <c r="C5" s="35">
        <f>AVERAGE('Hist - Inside'!N3:N38)</f>
        <v>125.69499999999999</v>
      </c>
      <c r="D5" s="6">
        <f>('Hist - Inside'!L40+'Hist - Inside'!P40)/'Hist - Inside'!N40</f>
        <v>0.2157623310129016</v>
      </c>
    </row>
    <row r="6" spans="2:4" x14ac:dyDescent="0.3">
      <c r="B6" s="5" t="s">
        <v>5</v>
      </c>
      <c r="C6" s="35">
        <f>AVERAGE('Hist - Outside'!N3:N38)</f>
        <v>123.41222222222223</v>
      </c>
      <c r="D6" s="6">
        <f>('Hist - Outside'!L40+'Hist - Outside'!P40)/'Hist - Outside'!N40</f>
        <v>0.21576183456302722</v>
      </c>
    </row>
    <row r="7" spans="2:4" x14ac:dyDescent="0.3">
      <c r="B7" s="5" t="s">
        <v>6</v>
      </c>
      <c r="C7" s="35">
        <f>AVERAGE('Hist - Inside Sen Cit Discount'!P3:P38)</f>
        <v>100.96305555555556</v>
      </c>
      <c r="D7" s="6">
        <f>('Hist - Inside Sen Cit Discount'!M40+'Hist - Inside Sen Cit Discount'!N40+'Hist - Inside Sen Cit Discount'!R40)/'Hist - Inside Sen Cit Discount'!P40</f>
        <v>0.20737444868447477</v>
      </c>
    </row>
    <row r="8" spans="2:4" x14ac:dyDescent="0.3">
      <c r="B8" s="5" t="s">
        <v>7</v>
      </c>
      <c r="C8" s="35">
        <f>AVERAGE('Hist - Outside Sen Cit Discount'!P3:P38)</f>
        <v>99.12777777777778</v>
      </c>
      <c r="D8" s="6">
        <f>('Hist - Outside Sen Cit Discount'!M40+'Hist - Outside Sen Cit Discount'!N40+'Hist - Outside Sen Cit Discount'!R40)/'Hist - Outside Sen Cit Discount'!P40</f>
        <v>0.2073738096172168</v>
      </c>
    </row>
    <row r="11" spans="2:4" x14ac:dyDescent="0.3">
      <c r="B11" s="7" t="s">
        <v>8</v>
      </c>
    </row>
    <row r="12" spans="2:4" x14ac:dyDescent="0.3">
      <c r="B12" s="1" t="s">
        <v>9</v>
      </c>
    </row>
    <row r="13" spans="2:4" x14ac:dyDescent="0.3">
      <c r="B13" s="1" t="s">
        <v>10</v>
      </c>
    </row>
    <row r="14" spans="2:4" x14ac:dyDescent="0.3">
      <c r="B14" s="92" t="s">
        <v>11</v>
      </c>
      <c r="C14" s="92"/>
      <c r="D14" s="92"/>
    </row>
    <row r="15" spans="2:4" x14ac:dyDescent="0.3">
      <c r="B15" s="92"/>
      <c r="C15" s="92"/>
      <c r="D15" s="92"/>
    </row>
    <row r="18" spans="2:4" x14ac:dyDescent="0.3">
      <c r="C18" s="42"/>
      <c r="D18" s="42"/>
    </row>
    <row r="19" spans="2:4" x14ac:dyDescent="0.3">
      <c r="B19" s="37"/>
      <c r="C19" s="38"/>
      <c r="D19" s="38"/>
    </row>
    <row r="20" spans="2:4" x14ac:dyDescent="0.3">
      <c r="B20" s="37"/>
      <c r="C20" s="38"/>
      <c r="D20" s="38"/>
    </row>
    <row r="21" spans="2:4" x14ac:dyDescent="0.3">
      <c r="B21" s="37"/>
      <c r="C21" s="38"/>
      <c r="D21" s="38"/>
    </row>
    <row r="22" spans="2:4" x14ac:dyDescent="0.3">
      <c r="B22" s="37"/>
      <c r="C22" s="39"/>
      <c r="D22" s="39"/>
    </row>
    <row r="23" spans="2:4" x14ac:dyDescent="0.3">
      <c r="C23" s="38"/>
      <c r="D23" s="38"/>
    </row>
    <row r="24" spans="2:4" ht="15.6" x14ac:dyDescent="0.45">
      <c r="B24" s="37"/>
      <c r="C24" s="40"/>
      <c r="D24" s="40"/>
    </row>
    <row r="25" spans="2:4" x14ac:dyDescent="0.3">
      <c r="C25" s="41"/>
      <c r="D25" s="41"/>
    </row>
    <row r="26" spans="2:4" x14ac:dyDescent="0.3">
      <c r="B26" s="37"/>
      <c r="C26" s="41"/>
      <c r="D26" s="41"/>
    </row>
    <row r="27" spans="2:4" x14ac:dyDescent="0.3">
      <c r="B27" s="37"/>
      <c r="C27" s="43"/>
      <c r="D27" s="43"/>
    </row>
  </sheetData>
  <mergeCells count="1">
    <mergeCell ref="B14:D15"/>
  </mergeCells>
  <phoneticPr fontId="4" type="noConversion"/>
  <pageMargins left="0.75" right="0.75" top="1.25" bottom="1" header="0.8" footer="0.8"/>
  <pageSetup orientation="landscape" r:id="rId1"/>
  <headerFooter alignWithMargins="0">
    <oddHeader>&amp;R&amp;12MFRH 1.1
Docket No. 44902</oddHeader>
    <oddFooter>&amp;RPage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indexed="43"/>
    <pageSetUpPr fitToPage="1"/>
  </sheetPr>
  <dimension ref="A1:U94"/>
  <sheetViews>
    <sheetView topLeftCell="A74" zoomScale="90" zoomScaleNormal="90" zoomScaleSheetLayoutView="75" workbookViewId="0">
      <selection activeCell="E97" sqref="E97"/>
    </sheetView>
  </sheetViews>
  <sheetFormatPr defaultColWidth="9.109375" defaultRowHeight="13.8" x14ac:dyDescent="0.3"/>
  <cols>
    <col min="1" max="1" width="14.88671875" style="9" customWidth="1"/>
    <col min="2" max="2" width="9.109375" style="9" customWidth="1"/>
    <col min="3" max="3" width="9.88671875" style="9" customWidth="1"/>
    <col min="4" max="4" width="11.5546875" style="9" bestFit="1" customWidth="1"/>
    <col min="5" max="5" width="13.6640625" style="9" bestFit="1" customWidth="1"/>
    <col min="6" max="6" width="10.6640625" style="9" bestFit="1" customWidth="1"/>
    <col min="7" max="7" width="15.33203125" style="9" customWidth="1"/>
    <col min="8" max="8" width="2.6640625" style="9" customWidth="1"/>
    <col min="9" max="9" width="8.5546875" style="9" bestFit="1" customWidth="1"/>
    <col min="10" max="10" width="13" style="9" customWidth="1"/>
    <col min="11" max="11" width="11.6640625" style="9" customWidth="1"/>
    <col min="12" max="12" width="8.6640625" style="9" bestFit="1" customWidth="1"/>
    <col min="13" max="14" width="11.88671875" style="9" customWidth="1"/>
    <col min="15" max="15" width="2.6640625" style="9" customWidth="1"/>
    <col min="16" max="16" width="7.5546875" style="9" bestFit="1" customWidth="1"/>
    <col min="17" max="17" width="9.6640625" style="9" bestFit="1" customWidth="1"/>
    <col min="18" max="16384" width="9.109375" style="9"/>
  </cols>
  <sheetData>
    <row r="1" spans="1:21" ht="18" x14ac:dyDescent="0.35">
      <c r="A1" s="8" t="s">
        <v>12</v>
      </c>
      <c r="J1" s="10"/>
      <c r="K1" s="10"/>
      <c r="M1" s="10"/>
      <c r="O1" s="10"/>
      <c r="R1" s="10"/>
    </row>
    <row r="2" spans="1:21" s="11" customFormat="1" ht="27.6" x14ac:dyDescent="0.3">
      <c r="A2" s="11" t="s">
        <v>13</v>
      </c>
      <c r="B2" s="11" t="s">
        <v>14</v>
      </c>
      <c r="D2" s="11" t="s">
        <v>15</v>
      </c>
      <c r="E2" s="11" t="s">
        <v>16</v>
      </c>
      <c r="F2" s="11" t="s">
        <v>17</v>
      </c>
      <c r="G2" s="11" t="s">
        <v>18</v>
      </c>
      <c r="I2" s="11" t="s">
        <v>19</v>
      </c>
      <c r="J2" s="11" t="s">
        <v>20</v>
      </c>
      <c r="K2" s="11" t="s">
        <v>21</v>
      </c>
      <c r="L2" s="11" t="s">
        <v>22</v>
      </c>
      <c r="M2" s="11" t="s">
        <v>23</v>
      </c>
      <c r="N2" s="11" t="s">
        <v>24</v>
      </c>
      <c r="P2" s="12" t="s">
        <v>25</v>
      </c>
    </row>
    <row r="3" spans="1:21" x14ac:dyDescent="0.3">
      <c r="A3" s="34">
        <v>43831</v>
      </c>
      <c r="B3" s="13">
        <v>1098</v>
      </c>
      <c r="C3" s="14"/>
      <c r="D3" s="52">
        <f>$D$44</f>
        <v>10</v>
      </c>
      <c r="E3" s="52">
        <f>ROUND(IF(B3&lt;650,B3*$D$45,650*$D$45),2)</f>
        <v>36.78</v>
      </c>
      <c r="F3" s="52">
        <f>ROUND(IF(B3&lt;651,0,IF(B3&lt;1000,(B3-650)*$D$46,350*$D$46)),2)</f>
        <v>16.989999999999998</v>
      </c>
      <c r="G3" s="52">
        <f>ROUND(IF(B3&lt;1001,0,(B3-1000)*$D$47),2)</f>
        <v>4.67</v>
      </c>
      <c r="H3" s="53"/>
      <c r="I3" s="54">
        <f>ROUND(SUM(D3:G3)*$G$47,2)</f>
        <v>13.98</v>
      </c>
      <c r="J3" s="54">
        <f>ROUND(SUM(D3:G3)*$G$49,2)</f>
        <v>1.29</v>
      </c>
      <c r="K3" s="54">
        <f>ROUND(SUM(D3:G3)*$G$50,2)</f>
        <v>6.47</v>
      </c>
      <c r="L3" s="52">
        <f>ROUND(B3*$G$45,2)</f>
        <v>31.64</v>
      </c>
      <c r="M3" s="54">
        <f>ROUND(SUM(D3:L3)*$G$48,2)</f>
        <v>3.72</v>
      </c>
      <c r="N3" s="10">
        <f>SUM(D3:M3)</f>
        <v>125.54</v>
      </c>
      <c r="P3" s="15">
        <f>L3*$G$48</f>
        <v>0.96631723999999997</v>
      </c>
    </row>
    <row r="4" spans="1:21" x14ac:dyDescent="0.3">
      <c r="A4" s="34">
        <v>43862</v>
      </c>
      <c r="B4" s="13">
        <v>904</v>
      </c>
      <c r="C4" s="14"/>
      <c r="D4" s="52">
        <f t="shared" ref="D4:D7" si="0">$D$44</f>
        <v>10</v>
      </c>
      <c r="E4" s="52">
        <f t="shared" ref="E4:E7" si="1">ROUND(IF(B4&lt;650,B4*$D$45,650*$D$45),2)</f>
        <v>36.78</v>
      </c>
      <c r="F4" s="52">
        <f t="shared" ref="F4:F7" si="2">ROUND(IF(B4&lt;651,0,IF(B4&lt;1000,(B4-650)*$D$46,350*$D$46)),2)</f>
        <v>12.33</v>
      </c>
      <c r="G4" s="52">
        <f t="shared" ref="G4:G7" si="3">ROUND(IF(B4&lt;1001,0,(B4-1000)*$D$47),2)</f>
        <v>0</v>
      </c>
      <c r="H4" s="53"/>
      <c r="I4" s="54">
        <f t="shared" ref="I4:I7" si="4">ROUND(SUM(D4:G4)*$G$47,2)</f>
        <v>12.07</v>
      </c>
      <c r="J4" s="54">
        <f t="shared" ref="J4:J7" si="5">ROUND(SUM(D4:G4)*$G$49,2)</f>
        <v>1.1200000000000001</v>
      </c>
      <c r="K4" s="54">
        <f t="shared" ref="K4:K7" si="6">ROUND(SUM(D4:G4)*$G$50,2)</f>
        <v>5.59</v>
      </c>
      <c r="L4" s="52">
        <f t="shared" ref="L4:L7" si="7">ROUND(B4*$G$45,2)</f>
        <v>26.05</v>
      </c>
      <c r="M4" s="54">
        <f t="shared" ref="M4:M14" si="8">ROUND(SUM(D4:L4)*$G$48,2)</f>
        <v>3.17</v>
      </c>
      <c r="N4" s="10">
        <f t="shared" ref="N4:N7" si="9">SUM(D4:M4)</f>
        <v>107.11000000000001</v>
      </c>
      <c r="P4" s="15">
        <f t="shared" ref="P4:P7" si="10">L4*$G$48</f>
        <v>0.79559305000000002</v>
      </c>
    </row>
    <row r="5" spans="1:21" x14ac:dyDescent="0.3">
      <c r="A5" s="34">
        <v>43891</v>
      </c>
      <c r="B5" s="13">
        <v>849</v>
      </c>
      <c r="C5" s="14"/>
      <c r="D5" s="52">
        <f t="shared" si="0"/>
        <v>10</v>
      </c>
      <c r="E5" s="52">
        <f t="shared" si="1"/>
        <v>36.78</v>
      </c>
      <c r="F5" s="52">
        <f t="shared" si="2"/>
        <v>9.66</v>
      </c>
      <c r="G5" s="52">
        <f t="shared" si="3"/>
        <v>0</v>
      </c>
      <c r="H5" s="53"/>
      <c r="I5" s="54">
        <f t="shared" si="4"/>
        <v>11.52</v>
      </c>
      <c r="J5" s="54">
        <f t="shared" si="5"/>
        <v>1.07</v>
      </c>
      <c r="K5" s="54">
        <f t="shared" si="6"/>
        <v>5.34</v>
      </c>
      <c r="L5" s="52">
        <f t="shared" si="7"/>
        <v>24.46</v>
      </c>
      <c r="M5" s="54">
        <f t="shared" si="8"/>
        <v>3.02</v>
      </c>
      <c r="N5" s="10">
        <f t="shared" si="9"/>
        <v>101.84999999999998</v>
      </c>
      <c r="P5" s="15">
        <f t="shared" si="10"/>
        <v>0.74703286000000002</v>
      </c>
    </row>
    <row r="6" spans="1:21" x14ac:dyDescent="0.3">
      <c r="A6" s="34">
        <v>43922</v>
      </c>
      <c r="B6" s="13">
        <v>744</v>
      </c>
      <c r="C6" s="14"/>
      <c r="D6" s="52">
        <f t="shared" si="0"/>
        <v>10</v>
      </c>
      <c r="E6" s="52">
        <f t="shared" si="1"/>
        <v>36.78</v>
      </c>
      <c r="F6" s="52">
        <f t="shared" si="2"/>
        <v>4.5599999999999996</v>
      </c>
      <c r="G6" s="52">
        <f t="shared" si="3"/>
        <v>0</v>
      </c>
      <c r="H6" s="53"/>
      <c r="I6" s="54">
        <f t="shared" si="4"/>
        <v>10.48</v>
      </c>
      <c r="J6" s="54">
        <f t="shared" si="5"/>
        <v>0.97</v>
      </c>
      <c r="K6" s="54">
        <f t="shared" si="6"/>
        <v>4.8600000000000003</v>
      </c>
      <c r="L6" s="52">
        <f t="shared" si="7"/>
        <v>21.44</v>
      </c>
      <c r="M6" s="54">
        <f t="shared" si="8"/>
        <v>2.72</v>
      </c>
      <c r="N6" s="10">
        <f t="shared" si="9"/>
        <v>91.81</v>
      </c>
      <c r="P6" s="15">
        <f t="shared" si="10"/>
        <v>0.65479904</v>
      </c>
    </row>
    <row r="7" spans="1:21" x14ac:dyDescent="0.3">
      <c r="A7" s="34">
        <v>43952</v>
      </c>
      <c r="B7" s="13">
        <v>911</v>
      </c>
      <c r="C7" s="14"/>
      <c r="D7" s="52">
        <f t="shared" si="0"/>
        <v>10</v>
      </c>
      <c r="E7" s="52">
        <f t="shared" si="1"/>
        <v>36.78</v>
      </c>
      <c r="F7" s="52">
        <f t="shared" si="2"/>
        <v>12.67</v>
      </c>
      <c r="G7" s="52">
        <f t="shared" si="3"/>
        <v>0</v>
      </c>
      <c r="H7" s="53"/>
      <c r="I7" s="54">
        <f t="shared" si="4"/>
        <v>12.14</v>
      </c>
      <c r="J7" s="54">
        <f t="shared" si="5"/>
        <v>1.1200000000000001</v>
      </c>
      <c r="K7" s="54">
        <f t="shared" si="6"/>
        <v>5.62</v>
      </c>
      <c r="L7" s="52">
        <f t="shared" si="7"/>
        <v>26.25</v>
      </c>
      <c r="M7" s="54">
        <f t="shared" si="8"/>
        <v>3.19</v>
      </c>
      <c r="N7" s="10">
        <f t="shared" si="9"/>
        <v>107.77000000000001</v>
      </c>
      <c r="P7" s="15">
        <f t="shared" si="10"/>
        <v>0.80170124999999992</v>
      </c>
    </row>
    <row r="8" spans="1:21" x14ac:dyDescent="0.3">
      <c r="A8" s="34">
        <v>43983</v>
      </c>
      <c r="B8" s="13">
        <v>1142</v>
      </c>
      <c r="C8" s="14"/>
      <c r="D8" s="52">
        <f>$D$53</f>
        <v>10</v>
      </c>
      <c r="E8" s="52">
        <f>ROUND(IF(B8&lt;650,B8*$D$57,650*$D$57),2)</f>
        <v>36.78</v>
      </c>
      <c r="F8" s="52">
        <f>ROUND(IF(B8&lt;651,0,IF(B8&lt;1000,(B8-650)*$D$58,350*$D$58)),2)</f>
        <v>32.89</v>
      </c>
      <c r="G8" s="52">
        <f>ROUND(IF(B8&lt;1001,0,(B8-1000)*$D$59),2)</f>
        <v>13.81</v>
      </c>
      <c r="H8" s="53"/>
      <c r="I8" s="54">
        <f>ROUND(SUM(D8:G8)*$G$56,2)</f>
        <v>19.09</v>
      </c>
      <c r="J8" s="54">
        <f>ROUND(SUM(D8:G8)*$G$58,2)</f>
        <v>1.76</v>
      </c>
      <c r="K8" s="54">
        <f>ROUND(SUM(D8:G8)*$G$59,2)</f>
        <v>8.84</v>
      </c>
      <c r="L8" s="52">
        <f>ROUND(B8*$G$55,2)</f>
        <v>26.69</v>
      </c>
      <c r="M8" s="54">
        <f t="shared" si="8"/>
        <v>4.58</v>
      </c>
      <c r="N8" s="10">
        <f t="shared" ref="N8:N19" si="11">SUM(D8:M8)</f>
        <v>154.44000000000003</v>
      </c>
      <c r="P8" s="15">
        <f>L8*$G$57</f>
        <v>0.81513928999999996</v>
      </c>
    </row>
    <row r="9" spans="1:21" x14ac:dyDescent="0.3">
      <c r="A9" s="34">
        <v>44013</v>
      </c>
      <c r="B9" s="13">
        <v>1355</v>
      </c>
      <c r="C9" s="14"/>
      <c r="D9" s="52">
        <f t="shared" ref="D9:D11" si="12">$D$53</f>
        <v>10</v>
      </c>
      <c r="E9" s="52">
        <f t="shared" ref="E9:E11" si="13">ROUND(IF(B9&lt;650,B9*$D$57,650*$D$57),2)</f>
        <v>36.78</v>
      </c>
      <c r="F9" s="52">
        <f t="shared" ref="F9:F11" si="14">ROUND(IF(B9&lt;651,0,IF(B9&lt;1000,(B9-650)*$D$58,350*$D$58)),2)</f>
        <v>32.89</v>
      </c>
      <c r="G9" s="52">
        <f t="shared" ref="G9:G11" si="15">ROUND(IF(B9&lt;1001,0,(B9-1000)*$D$59),2)</f>
        <v>34.53</v>
      </c>
      <c r="H9" s="53"/>
      <c r="I9" s="54">
        <f t="shared" ref="I9:I11" si="16">ROUND(SUM(D9:G9)*$G$56,2)</f>
        <v>23.32</v>
      </c>
      <c r="J9" s="54">
        <f t="shared" ref="J9:J11" si="17">ROUND(SUM(D9:G9)*$G$58,2)</f>
        <v>2.16</v>
      </c>
      <c r="K9" s="54">
        <f t="shared" ref="K9:K11" si="18">ROUND(SUM(D9:G9)*$G$59,2)</f>
        <v>10.8</v>
      </c>
      <c r="L9" s="52">
        <f t="shared" ref="L9:L11" si="19">ROUND(B9*$G$55,2)</f>
        <v>31.67</v>
      </c>
      <c r="M9" s="54">
        <f t="shared" si="8"/>
        <v>5.56</v>
      </c>
      <c r="N9" s="10">
        <f t="shared" ref="N9:N11" si="20">SUM(D9:M9)</f>
        <v>187.71000000000004</v>
      </c>
      <c r="P9" s="15">
        <f t="shared" ref="P9:P11" si="21">L9*$G$57</f>
        <v>0.96723347000000004</v>
      </c>
    </row>
    <row r="10" spans="1:21" x14ac:dyDescent="0.3">
      <c r="A10" s="34">
        <v>44044</v>
      </c>
      <c r="B10" s="13">
        <v>1305</v>
      </c>
      <c r="C10" s="14"/>
      <c r="D10" s="52">
        <f t="shared" si="12"/>
        <v>10</v>
      </c>
      <c r="E10" s="52">
        <f t="shared" si="13"/>
        <v>36.78</v>
      </c>
      <c r="F10" s="52">
        <f t="shared" si="14"/>
        <v>32.89</v>
      </c>
      <c r="G10" s="52">
        <f t="shared" si="15"/>
        <v>29.67</v>
      </c>
      <c r="H10" s="53"/>
      <c r="I10" s="54">
        <f t="shared" si="16"/>
        <v>22.33</v>
      </c>
      <c r="J10" s="54">
        <f t="shared" si="17"/>
        <v>2.06</v>
      </c>
      <c r="K10" s="54">
        <f t="shared" si="18"/>
        <v>10.34</v>
      </c>
      <c r="L10" s="52">
        <f t="shared" si="19"/>
        <v>30.5</v>
      </c>
      <c r="M10" s="54">
        <f t="shared" si="8"/>
        <v>5.33</v>
      </c>
      <c r="N10" s="10">
        <f t="shared" si="20"/>
        <v>179.90000000000003</v>
      </c>
      <c r="P10" s="15">
        <f t="shared" si="21"/>
        <v>0.93150049999999995</v>
      </c>
    </row>
    <row r="11" spans="1:21" x14ac:dyDescent="0.3">
      <c r="A11" s="34">
        <v>44075</v>
      </c>
      <c r="B11" s="13">
        <v>1002</v>
      </c>
      <c r="C11" s="14"/>
      <c r="D11" s="52">
        <f t="shared" si="12"/>
        <v>10</v>
      </c>
      <c r="E11" s="52">
        <f t="shared" si="13"/>
        <v>36.78</v>
      </c>
      <c r="F11" s="52">
        <f t="shared" si="14"/>
        <v>32.89</v>
      </c>
      <c r="G11" s="52">
        <f t="shared" si="15"/>
        <v>0.19</v>
      </c>
      <c r="H11" s="53"/>
      <c r="I11" s="54">
        <f t="shared" si="16"/>
        <v>16.309999999999999</v>
      </c>
      <c r="J11" s="54">
        <f t="shared" si="17"/>
        <v>1.51</v>
      </c>
      <c r="K11" s="54">
        <f t="shared" si="18"/>
        <v>7.55</v>
      </c>
      <c r="L11" s="52">
        <f t="shared" si="19"/>
        <v>23.42</v>
      </c>
      <c r="M11" s="54">
        <f t="shared" si="8"/>
        <v>3.93</v>
      </c>
      <c r="N11" s="10">
        <f t="shared" si="20"/>
        <v>132.58000000000001</v>
      </c>
      <c r="P11" s="15">
        <f t="shared" si="21"/>
        <v>0.71527022000000007</v>
      </c>
    </row>
    <row r="12" spans="1:21" x14ac:dyDescent="0.3">
      <c r="A12" s="34">
        <v>44105</v>
      </c>
      <c r="B12" s="13">
        <v>824</v>
      </c>
      <c r="C12" s="14"/>
      <c r="D12" s="52">
        <f>$D$62</f>
        <v>10</v>
      </c>
      <c r="E12" s="52">
        <f>ROUND(IF(B12&lt;650,B12*$D$63,650*$D$63),2)</f>
        <v>36.78</v>
      </c>
      <c r="F12" s="52">
        <f>ROUND(IF(B12&lt;651,0,IF(B12&lt;1000,(B12-650)*$D$64,350*$D$64)),2)</f>
        <v>8.44</v>
      </c>
      <c r="G12" s="52">
        <f>ROUND(IF(B12&lt;1001,0,(B12-1000)*$D$65),2)</f>
        <v>0</v>
      </c>
      <c r="H12" s="53"/>
      <c r="I12" s="54">
        <f>ROUND(SUM(D12:G12)*$G$65,2)</f>
        <v>11.28</v>
      </c>
      <c r="J12" s="54">
        <f>ROUND(SUM(D12:G12)*$G$67,2)</f>
        <v>1.04</v>
      </c>
      <c r="K12" s="54">
        <f>ROUND(SUM(D12:G12)*$G$68,2)</f>
        <v>5.22</v>
      </c>
      <c r="L12" s="52">
        <f>ROUND(B12*$G$63,2)</f>
        <v>20.23</v>
      </c>
      <c r="M12" s="54">
        <f t="shared" si="8"/>
        <v>2.84</v>
      </c>
      <c r="N12" s="10">
        <f>SUM(D12:M12)</f>
        <v>95.830000000000013</v>
      </c>
      <c r="P12" s="15">
        <f>L12*$G$66</f>
        <v>0.61784443</v>
      </c>
    </row>
    <row r="13" spans="1:21" x14ac:dyDescent="0.3">
      <c r="A13" s="34">
        <v>44136</v>
      </c>
      <c r="B13" s="13">
        <v>812</v>
      </c>
      <c r="C13" s="14"/>
      <c r="D13" s="52">
        <f t="shared" ref="D13:D14" si="22">$D$62</f>
        <v>10</v>
      </c>
      <c r="E13" s="52">
        <f t="shared" ref="E13:E14" si="23">ROUND(IF(B13&lt;650,B13*$D$63,650*$D$63),2)</f>
        <v>36.78</v>
      </c>
      <c r="F13" s="52">
        <f t="shared" ref="F13:F14" si="24">ROUND(IF(B13&lt;651,0,IF(B13&lt;1000,(B13-650)*$D$64,350*$D$64)),2)</f>
        <v>7.86</v>
      </c>
      <c r="G13" s="52">
        <f t="shared" ref="G13:G14" si="25">ROUND(IF(B13&lt;1001,0,(B13-1000)*$D$65),2)</f>
        <v>0</v>
      </c>
      <c r="H13" s="53"/>
      <c r="I13" s="54">
        <f t="shared" ref="I13:I14" si="26">ROUND(SUM(D13:G13)*$G$65,2)</f>
        <v>11.16</v>
      </c>
      <c r="J13" s="54">
        <f t="shared" ref="J13:J14" si="27">ROUND(SUM(D13:G13)*$G$67,2)</f>
        <v>1.03</v>
      </c>
      <c r="K13" s="54">
        <f t="shared" ref="K13:K14" si="28">ROUND(SUM(D13:G13)*$G$68,2)</f>
        <v>5.17</v>
      </c>
      <c r="L13" s="52">
        <f t="shared" ref="L13:L14" si="29">ROUND(B13*$G$63,2)</f>
        <v>19.940000000000001</v>
      </c>
      <c r="M13" s="54">
        <f t="shared" si="8"/>
        <v>2.81</v>
      </c>
      <c r="N13" s="10">
        <f t="shared" si="11"/>
        <v>94.75</v>
      </c>
      <c r="P13" s="15">
        <f t="shared" ref="P13:P14" si="30">L13*$G$66</f>
        <v>0.60898753999999999</v>
      </c>
      <c r="U13" s="33"/>
    </row>
    <row r="14" spans="1:21" x14ac:dyDescent="0.3">
      <c r="A14" s="34">
        <v>44166</v>
      </c>
      <c r="B14" s="13">
        <v>1054</v>
      </c>
      <c r="C14" s="14"/>
      <c r="D14" s="52">
        <f t="shared" si="22"/>
        <v>10</v>
      </c>
      <c r="E14" s="52">
        <f t="shared" si="23"/>
        <v>36.78</v>
      </c>
      <c r="F14" s="52">
        <f t="shared" si="24"/>
        <v>16.989999999999998</v>
      </c>
      <c r="G14" s="52">
        <f t="shared" si="25"/>
        <v>2.57</v>
      </c>
      <c r="H14" s="53"/>
      <c r="I14" s="54">
        <f t="shared" si="26"/>
        <v>13.55</v>
      </c>
      <c r="J14" s="54">
        <f t="shared" si="27"/>
        <v>1.25</v>
      </c>
      <c r="K14" s="54">
        <f t="shared" si="28"/>
        <v>6.28</v>
      </c>
      <c r="L14" s="52">
        <f t="shared" si="29"/>
        <v>25.88</v>
      </c>
      <c r="M14" s="54">
        <f t="shared" si="8"/>
        <v>3.46</v>
      </c>
      <c r="N14" s="10">
        <f t="shared" si="11"/>
        <v>116.75999999999998</v>
      </c>
      <c r="P14" s="15">
        <f t="shared" si="30"/>
        <v>0.79040107999999998</v>
      </c>
      <c r="U14" s="33"/>
    </row>
    <row r="15" spans="1:21" x14ac:dyDescent="0.3">
      <c r="A15" s="34">
        <v>44197</v>
      </c>
      <c r="B15" s="13">
        <v>1098</v>
      </c>
      <c r="C15" s="14"/>
      <c r="D15" s="52">
        <f>$D$71</f>
        <v>12</v>
      </c>
      <c r="E15" s="52">
        <f>ROUND(IF(B15&lt;650,B15*$D$72,650*$D$72),2)</f>
        <v>36.97</v>
      </c>
      <c r="F15" s="52">
        <f>ROUND(IF(B15&lt;651,0,IF(B15&lt;1000,(B15-650)*$D$73,350*$D$73)),2)</f>
        <v>17.07</v>
      </c>
      <c r="G15" s="52">
        <f>ROUND(IF(B15&lt;1001,0,(B15-1000)*$D$74),2)</f>
        <v>4.6900000000000004</v>
      </c>
      <c r="H15" s="53"/>
      <c r="I15" s="54">
        <f>ROUND(SUM(D15:G15)*$G$74,2)</f>
        <v>14.02</v>
      </c>
      <c r="J15" s="54">
        <f>ROUND(SUM(D15:G15)*$G$76,2)</f>
        <v>1.23</v>
      </c>
      <c r="K15" s="54">
        <f>ROUND(SUM(D15:G15)*$G$77,2)</f>
        <v>4.13</v>
      </c>
      <c r="L15" s="52">
        <f>ROUND(B15*$G$72,2)</f>
        <v>26.96</v>
      </c>
      <c r="M15" s="54">
        <f>ROUND(SUM(D15:L15)*$G$75,2)</f>
        <v>3.58</v>
      </c>
      <c r="N15" s="10">
        <f t="shared" si="11"/>
        <v>120.64999999999999</v>
      </c>
      <c r="P15" s="15">
        <f>L15*$G$75</f>
        <v>0.82454464000000005</v>
      </c>
      <c r="U15" s="33"/>
    </row>
    <row r="16" spans="1:21" x14ac:dyDescent="0.3">
      <c r="A16" s="34">
        <v>44228</v>
      </c>
      <c r="B16" s="13">
        <v>904</v>
      </c>
      <c r="C16" s="14"/>
      <c r="D16" s="52">
        <f t="shared" ref="D16:D26" si="31">$D$71</f>
        <v>12</v>
      </c>
      <c r="E16" s="52">
        <f t="shared" ref="E16:E26" si="32">ROUND(IF(B16&lt;650,B16*$D$72,650*$D$72),2)</f>
        <v>36.97</v>
      </c>
      <c r="F16" s="52">
        <f t="shared" ref="F16:F26" si="33">ROUND(IF(B16&lt;651,0,IF(B16&lt;1000,(B16-650)*$D$73,350*$D$73)),2)</f>
        <v>12.39</v>
      </c>
      <c r="G16" s="52">
        <f t="shared" ref="G16:G26" si="34">ROUND(IF(B16&lt;1001,0,(B16-1000)*$D$74),2)</f>
        <v>0</v>
      </c>
      <c r="H16" s="53"/>
      <c r="I16" s="54">
        <f t="shared" ref="I16:I26" si="35">ROUND(SUM(D16:G16)*$G$74,2)</f>
        <v>12.17</v>
      </c>
      <c r="J16" s="54">
        <f t="shared" ref="J16:J26" si="36">ROUND(SUM(D16:G16)*$G$76,2)</f>
        <v>1.07</v>
      </c>
      <c r="K16" s="54">
        <f t="shared" ref="K16:K26" si="37">ROUND(SUM(D16:G16)*$G$77,2)</f>
        <v>3.59</v>
      </c>
      <c r="L16" s="52">
        <f t="shared" ref="L16:L26" si="38">ROUND(B16*$G$72,2)</f>
        <v>22.2</v>
      </c>
      <c r="M16" s="54">
        <f t="shared" ref="M16:M26" si="39">ROUND(SUM(D16:L16)*$G$75,2)</f>
        <v>3.07</v>
      </c>
      <c r="N16" s="10">
        <f t="shared" si="11"/>
        <v>103.46</v>
      </c>
      <c r="P16" s="15">
        <f t="shared" ref="P16:P26" si="40">L16*$G$75</f>
        <v>0.67896480000000003</v>
      </c>
      <c r="U16" s="33"/>
    </row>
    <row r="17" spans="1:21" x14ac:dyDescent="0.3">
      <c r="A17" s="34">
        <v>44256</v>
      </c>
      <c r="B17" s="13">
        <v>849</v>
      </c>
      <c r="C17" s="14"/>
      <c r="D17" s="52">
        <f t="shared" si="31"/>
        <v>12</v>
      </c>
      <c r="E17" s="52">
        <f t="shared" si="32"/>
        <v>36.97</v>
      </c>
      <c r="F17" s="52">
        <f t="shared" si="33"/>
        <v>9.7100000000000009</v>
      </c>
      <c r="G17" s="52">
        <f t="shared" si="34"/>
        <v>0</v>
      </c>
      <c r="H17" s="53"/>
      <c r="I17" s="54">
        <f t="shared" si="35"/>
        <v>11.63</v>
      </c>
      <c r="J17" s="54">
        <f t="shared" si="36"/>
        <v>1.02</v>
      </c>
      <c r="K17" s="54">
        <f t="shared" si="37"/>
        <v>3.43</v>
      </c>
      <c r="L17" s="52">
        <f t="shared" si="38"/>
        <v>20.85</v>
      </c>
      <c r="M17" s="54">
        <f t="shared" si="39"/>
        <v>2.92</v>
      </c>
      <c r="N17" s="10">
        <f t="shared" si="11"/>
        <v>98.530000000000015</v>
      </c>
      <c r="P17" s="15">
        <f t="shared" si="40"/>
        <v>0.63767640000000003</v>
      </c>
      <c r="U17" s="33"/>
    </row>
    <row r="18" spans="1:21" x14ac:dyDescent="0.3">
      <c r="A18" s="34">
        <v>44287</v>
      </c>
      <c r="B18" s="13">
        <v>744</v>
      </c>
      <c r="C18" s="14"/>
      <c r="D18" s="52">
        <f t="shared" si="31"/>
        <v>12</v>
      </c>
      <c r="E18" s="52">
        <f t="shared" si="32"/>
        <v>36.97</v>
      </c>
      <c r="F18" s="52">
        <f t="shared" si="33"/>
        <v>4.59</v>
      </c>
      <c r="G18" s="52">
        <f t="shared" si="34"/>
        <v>0</v>
      </c>
      <c r="H18" s="53"/>
      <c r="I18" s="54">
        <f t="shared" si="35"/>
        <v>10.62</v>
      </c>
      <c r="J18" s="54">
        <f t="shared" si="36"/>
        <v>0.93</v>
      </c>
      <c r="K18" s="54">
        <f t="shared" si="37"/>
        <v>3.13</v>
      </c>
      <c r="L18" s="52">
        <f t="shared" si="38"/>
        <v>18.27</v>
      </c>
      <c r="M18" s="54">
        <f t="shared" si="39"/>
        <v>2.65</v>
      </c>
      <c r="N18" s="10">
        <f t="shared" si="11"/>
        <v>89.160000000000011</v>
      </c>
      <c r="P18" s="15">
        <f t="shared" si="40"/>
        <v>0.55876967999999994</v>
      </c>
      <c r="U18" s="33"/>
    </row>
    <row r="19" spans="1:21" x14ac:dyDescent="0.3">
      <c r="A19" s="34">
        <v>44317</v>
      </c>
      <c r="B19" s="13">
        <v>911</v>
      </c>
      <c r="C19" s="14"/>
      <c r="D19" s="52">
        <f t="shared" si="31"/>
        <v>12</v>
      </c>
      <c r="E19" s="52">
        <f t="shared" si="32"/>
        <v>36.97</v>
      </c>
      <c r="F19" s="52">
        <f t="shared" si="33"/>
        <v>12.73</v>
      </c>
      <c r="G19" s="52">
        <f t="shared" si="34"/>
        <v>0</v>
      </c>
      <c r="H19" s="53"/>
      <c r="I19" s="54">
        <f t="shared" si="35"/>
        <v>12.23</v>
      </c>
      <c r="J19" s="54">
        <f t="shared" si="36"/>
        <v>1.08</v>
      </c>
      <c r="K19" s="54">
        <f t="shared" si="37"/>
        <v>3.61</v>
      </c>
      <c r="L19" s="52">
        <f t="shared" si="38"/>
        <v>22.37</v>
      </c>
      <c r="M19" s="54">
        <f t="shared" si="39"/>
        <v>3.09</v>
      </c>
      <c r="N19" s="10">
        <f t="shared" si="11"/>
        <v>104.08000000000001</v>
      </c>
      <c r="P19" s="15">
        <f t="shared" si="40"/>
        <v>0.68416408000000006</v>
      </c>
      <c r="U19" s="33"/>
    </row>
    <row r="20" spans="1:21" x14ac:dyDescent="0.3">
      <c r="A20" s="34">
        <v>44348</v>
      </c>
      <c r="B20" s="13">
        <v>1142</v>
      </c>
      <c r="C20" s="16"/>
      <c r="D20" s="52">
        <f t="shared" si="31"/>
        <v>12</v>
      </c>
      <c r="E20" s="52">
        <f>ROUND(IF(B20&lt;650,B20*$D$75,650*$D$75),2)</f>
        <v>36.97</v>
      </c>
      <c r="F20" s="52">
        <f>ROUND(IF(B20&lt;651,0,IF(B20&lt;1000,(B20-650)*$D$76,350*$D$76)),2)</f>
        <v>33.06</v>
      </c>
      <c r="G20" s="52">
        <f>ROUND(IF(B20&lt;1001,0,(B20-1000)*$D$77),2)</f>
        <v>13.88</v>
      </c>
      <c r="H20" s="53"/>
      <c r="I20" s="54">
        <f t="shared" si="35"/>
        <v>19.02</v>
      </c>
      <c r="J20" s="54">
        <f t="shared" si="36"/>
        <v>1.67</v>
      </c>
      <c r="K20" s="54">
        <f t="shared" si="37"/>
        <v>5.61</v>
      </c>
      <c r="L20" s="52">
        <f>ROUND(B20*$G$73,2)</f>
        <v>28.67</v>
      </c>
      <c r="M20" s="54">
        <f t="shared" si="39"/>
        <v>4.6100000000000003</v>
      </c>
      <c r="N20" s="10">
        <f t="shared" ref="N20:N23" si="41">SUM(D20:M20)</f>
        <v>155.49</v>
      </c>
      <c r="P20" s="15">
        <f t="shared" si="40"/>
        <v>0.87684328</v>
      </c>
    </row>
    <row r="21" spans="1:21" x14ac:dyDescent="0.3">
      <c r="A21" s="34">
        <v>44378</v>
      </c>
      <c r="B21" s="13">
        <v>1355</v>
      </c>
      <c r="D21" s="52">
        <f t="shared" si="31"/>
        <v>12</v>
      </c>
      <c r="E21" s="52">
        <f t="shared" ref="E21:E23" si="42">ROUND(IF(B21&lt;650,B21*$D$75,650*$D$75),2)</f>
        <v>36.97</v>
      </c>
      <c r="F21" s="52">
        <f t="shared" ref="F21:F23" si="43">ROUND(IF(B21&lt;651,0,IF(B21&lt;1000,(B21-650)*$D$76,350*$D$76)),2)</f>
        <v>33.06</v>
      </c>
      <c r="G21" s="52">
        <f t="shared" ref="G21:G23" si="44">ROUND(IF(B21&lt;1001,0,(B21-1000)*$D$77),2)</f>
        <v>34.71</v>
      </c>
      <c r="H21" s="53"/>
      <c r="I21" s="54">
        <f t="shared" ref="I21:I23" si="45">ROUND(SUM(D21:G21)*$G$74,2)</f>
        <v>23.15</v>
      </c>
      <c r="J21" s="54">
        <f t="shared" ref="J21:J23" si="46">ROUND(SUM(D21:G21)*$G$76,2)</f>
        <v>2.04</v>
      </c>
      <c r="K21" s="54">
        <f t="shared" ref="K21:K23" si="47">ROUND(SUM(D21:G21)*$G$77,2)</f>
        <v>6.82</v>
      </c>
      <c r="L21" s="52">
        <f t="shared" ref="L21:L23" si="48">ROUND(B21*$G$73,2)</f>
        <v>34.020000000000003</v>
      </c>
      <c r="M21" s="54">
        <f t="shared" ref="M21:M23" si="49">ROUND(SUM(D21:L21)*$G$75,2)</f>
        <v>5.59</v>
      </c>
      <c r="N21" s="10">
        <f t="shared" si="41"/>
        <v>188.36</v>
      </c>
      <c r="P21" s="15">
        <f t="shared" si="40"/>
        <v>1.0404676800000001</v>
      </c>
    </row>
    <row r="22" spans="1:21" x14ac:dyDescent="0.3">
      <c r="A22" s="34">
        <v>44409</v>
      </c>
      <c r="B22" s="13">
        <v>1305</v>
      </c>
      <c r="D22" s="52">
        <f t="shared" si="31"/>
        <v>12</v>
      </c>
      <c r="E22" s="52">
        <f t="shared" si="42"/>
        <v>36.97</v>
      </c>
      <c r="F22" s="52">
        <f t="shared" si="43"/>
        <v>33.06</v>
      </c>
      <c r="G22" s="52">
        <f t="shared" si="44"/>
        <v>29.82</v>
      </c>
      <c r="H22" s="53"/>
      <c r="I22" s="54">
        <f t="shared" si="45"/>
        <v>22.18</v>
      </c>
      <c r="J22" s="54">
        <f t="shared" si="46"/>
        <v>1.95</v>
      </c>
      <c r="K22" s="54">
        <f t="shared" si="47"/>
        <v>6.54</v>
      </c>
      <c r="L22" s="52">
        <f t="shared" si="48"/>
        <v>32.76</v>
      </c>
      <c r="M22" s="54">
        <f t="shared" si="49"/>
        <v>5.36</v>
      </c>
      <c r="N22" s="10">
        <f t="shared" si="41"/>
        <v>180.64</v>
      </c>
      <c r="P22" s="15">
        <f t="shared" si="40"/>
        <v>1.0019318399999999</v>
      </c>
    </row>
    <row r="23" spans="1:21" x14ac:dyDescent="0.3">
      <c r="A23" s="34">
        <v>44440</v>
      </c>
      <c r="B23" s="13">
        <v>1002</v>
      </c>
      <c r="D23" s="52">
        <f t="shared" si="31"/>
        <v>12</v>
      </c>
      <c r="E23" s="52">
        <f t="shared" si="42"/>
        <v>36.97</v>
      </c>
      <c r="F23" s="52">
        <f t="shared" si="43"/>
        <v>33.06</v>
      </c>
      <c r="G23" s="52">
        <f t="shared" si="44"/>
        <v>0.2</v>
      </c>
      <c r="H23" s="53"/>
      <c r="I23" s="54">
        <f t="shared" si="45"/>
        <v>16.3</v>
      </c>
      <c r="J23" s="54">
        <f t="shared" si="46"/>
        <v>1.43</v>
      </c>
      <c r="K23" s="54">
        <f t="shared" si="47"/>
        <v>4.8099999999999996</v>
      </c>
      <c r="L23" s="52">
        <f t="shared" si="48"/>
        <v>25.15</v>
      </c>
      <c r="M23" s="54">
        <f t="shared" si="49"/>
        <v>3.97</v>
      </c>
      <c r="N23" s="10">
        <f t="shared" si="41"/>
        <v>133.89000000000001</v>
      </c>
      <c r="P23" s="15">
        <f t="shared" si="40"/>
        <v>0.76918759999999997</v>
      </c>
    </row>
    <row r="24" spans="1:21" x14ac:dyDescent="0.3">
      <c r="A24" s="34">
        <v>44470</v>
      </c>
      <c r="B24" s="13">
        <v>824</v>
      </c>
      <c r="D24" s="52">
        <f t="shared" si="31"/>
        <v>12</v>
      </c>
      <c r="E24" s="52">
        <f t="shared" si="32"/>
        <v>36.97</v>
      </c>
      <c r="F24" s="52">
        <f t="shared" si="33"/>
        <v>8.49</v>
      </c>
      <c r="G24" s="52">
        <f t="shared" si="34"/>
        <v>0</v>
      </c>
      <c r="H24" s="53"/>
      <c r="I24" s="54">
        <f t="shared" si="35"/>
        <v>11.39</v>
      </c>
      <c r="J24" s="54">
        <f t="shared" si="36"/>
        <v>1</v>
      </c>
      <c r="K24" s="54">
        <f t="shared" si="37"/>
        <v>3.36</v>
      </c>
      <c r="L24" s="52">
        <f t="shared" si="38"/>
        <v>20.23</v>
      </c>
      <c r="M24" s="54">
        <f t="shared" si="39"/>
        <v>2.86</v>
      </c>
      <c r="N24" s="10">
        <f>SUM(D24:M24)</f>
        <v>96.3</v>
      </c>
      <c r="P24" s="15">
        <f t="shared" si="40"/>
        <v>0.61871432000000004</v>
      </c>
    </row>
    <row r="25" spans="1:21" x14ac:dyDescent="0.3">
      <c r="A25" s="34">
        <v>44501</v>
      </c>
      <c r="B25" s="9">
        <v>812</v>
      </c>
      <c r="D25" s="52">
        <f t="shared" si="31"/>
        <v>12</v>
      </c>
      <c r="E25" s="52">
        <f t="shared" si="32"/>
        <v>36.97</v>
      </c>
      <c r="F25" s="52">
        <f t="shared" si="33"/>
        <v>7.9</v>
      </c>
      <c r="G25" s="52">
        <f t="shared" si="34"/>
        <v>0</v>
      </c>
      <c r="H25" s="53"/>
      <c r="I25" s="54">
        <f t="shared" si="35"/>
        <v>11.28</v>
      </c>
      <c r="J25" s="54">
        <f t="shared" si="36"/>
        <v>0.99</v>
      </c>
      <c r="K25" s="54">
        <f t="shared" si="37"/>
        <v>3.32</v>
      </c>
      <c r="L25" s="52">
        <f t="shared" si="38"/>
        <v>19.940000000000001</v>
      </c>
      <c r="M25" s="54">
        <f t="shared" si="39"/>
        <v>2.83</v>
      </c>
      <c r="N25" s="10">
        <f t="shared" ref="N25:N35" si="50">SUM(D25:M25)</f>
        <v>95.229999999999976</v>
      </c>
      <c r="P25" s="15">
        <f t="shared" si="40"/>
        <v>0.60984495999999999</v>
      </c>
    </row>
    <row r="26" spans="1:21" x14ac:dyDescent="0.3">
      <c r="A26" s="34">
        <v>44531</v>
      </c>
      <c r="B26" s="9">
        <v>1054</v>
      </c>
      <c r="D26" s="52">
        <f t="shared" si="31"/>
        <v>12</v>
      </c>
      <c r="E26" s="52">
        <f t="shared" si="32"/>
        <v>36.97</v>
      </c>
      <c r="F26" s="52">
        <f t="shared" si="33"/>
        <v>17.07</v>
      </c>
      <c r="G26" s="52">
        <f t="shared" si="34"/>
        <v>2.59</v>
      </c>
      <c r="H26" s="53"/>
      <c r="I26" s="54">
        <f t="shared" si="35"/>
        <v>13.61</v>
      </c>
      <c r="J26" s="54">
        <f t="shared" si="36"/>
        <v>1.2</v>
      </c>
      <c r="K26" s="54">
        <f t="shared" si="37"/>
        <v>4.01</v>
      </c>
      <c r="L26" s="52">
        <f t="shared" si="38"/>
        <v>25.88</v>
      </c>
      <c r="M26" s="54">
        <f t="shared" si="39"/>
        <v>3.47</v>
      </c>
      <c r="N26" s="10">
        <f t="shared" si="50"/>
        <v>116.8</v>
      </c>
      <c r="P26" s="15">
        <f t="shared" si="40"/>
        <v>0.79151391999999998</v>
      </c>
    </row>
    <row r="27" spans="1:21" x14ac:dyDescent="0.3">
      <c r="A27" s="34">
        <v>44562</v>
      </c>
      <c r="B27" s="9">
        <v>1098</v>
      </c>
      <c r="D27" s="52">
        <f>$D$80</f>
        <v>14</v>
      </c>
      <c r="E27" s="52">
        <f>ROUND(IF(B27&lt;650,B27*$D$81,650*$D$81),2)</f>
        <v>37.94</v>
      </c>
      <c r="F27" s="52">
        <f>ROUND(IF(B27&lt;651,0,IF(B27&lt;1000,(B27-650)*$D$82,350*$D$82)),2)</f>
        <v>17.52</v>
      </c>
      <c r="G27" s="52">
        <f>ROUND(IF(B27&lt;1001,0,(B27-1000)*$D$83),2)</f>
        <v>4.82</v>
      </c>
      <c r="H27" s="53"/>
      <c r="I27" s="54">
        <f>ROUND(SUM(D27:G27)*$G$83,2)</f>
        <v>13.76</v>
      </c>
      <c r="J27" s="54">
        <f>ROUND(SUM(D27:G27)*$G$85,2)</f>
        <v>0.75</v>
      </c>
      <c r="K27" s="54">
        <f>ROUND(SUM(D27:G27)*$G$86,2)</f>
        <v>2.83</v>
      </c>
      <c r="L27" s="52">
        <f>ROUND(B27*$G$81,2)</f>
        <v>31.01</v>
      </c>
      <c r="M27" s="54">
        <f>ROUND(SUM(D27:L27)*$G$84,2)</f>
        <v>3.74</v>
      </c>
      <c r="N27" s="10">
        <f t="shared" si="50"/>
        <v>126.37</v>
      </c>
      <c r="P27" s="15">
        <f>L27*$G$84</f>
        <v>0.94540187000000009</v>
      </c>
    </row>
    <row r="28" spans="1:21" x14ac:dyDescent="0.3">
      <c r="A28" s="34">
        <v>44593</v>
      </c>
      <c r="B28" s="9">
        <v>904</v>
      </c>
      <c r="D28" s="52">
        <f t="shared" ref="D28:D38" si="51">$D$80</f>
        <v>14</v>
      </c>
      <c r="E28" s="52">
        <f t="shared" ref="E28:E38" si="52">ROUND(IF(B28&lt;650,B28*$D$81,650*$D$81),2)</f>
        <v>37.94</v>
      </c>
      <c r="F28" s="52">
        <f t="shared" ref="F28:F38" si="53">ROUND(IF(B28&lt;651,0,IF(B28&lt;1000,(B28-650)*$D$82,350*$D$82)),2)</f>
        <v>12.72</v>
      </c>
      <c r="G28" s="52">
        <f t="shared" ref="G28:G38" si="54">ROUND(IF(B28&lt;1001,0,(B28-1000)*$D$83),2)</f>
        <v>0</v>
      </c>
      <c r="H28" s="53"/>
      <c r="I28" s="54">
        <f t="shared" ref="I28:I38" si="55">ROUND(SUM(D28:G28)*$G$83,2)</f>
        <v>11.97</v>
      </c>
      <c r="J28" s="54">
        <f t="shared" ref="J28:J38" si="56">ROUND(SUM(D28:G28)*$G$85,2)</f>
        <v>0.65</v>
      </c>
      <c r="K28" s="54">
        <f t="shared" ref="K28:K38" si="57">ROUND(SUM(D28:G28)*$G$86,2)</f>
        <v>2.4700000000000002</v>
      </c>
      <c r="L28" s="52">
        <f t="shared" ref="L28:L38" si="58">ROUND(B28*$G$81,2)</f>
        <v>25.53</v>
      </c>
      <c r="M28" s="54">
        <f t="shared" ref="M28:M38" si="59">ROUND(SUM(D28:L28)*$G$84,2)</f>
        <v>3.21</v>
      </c>
      <c r="N28" s="10">
        <f t="shared" si="50"/>
        <v>108.49</v>
      </c>
      <c r="P28" s="15">
        <f t="shared" ref="P28:P38" si="60">L28*$G$84</f>
        <v>0.77833311000000005</v>
      </c>
    </row>
    <row r="29" spans="1:21" x14ac:dyDescent="0.3">
      <c r="A29" s="34">
        <v>44621</v>
      </c>
      <c r="B29" s="9">
        <v>849</v>
      </c>
      <c r="D29" s="52">
        <f t="shared" si="51"/>
        <v>14</v>
      </c>
      <c r="E29" s="52">
        <f t="shared" si="52"/>
        <v>37.94</v>
      </c>
      <c r="F29" s="52">
        <f t="shared" si="53"/>
        <v>9.9600000000000009</v>
      </c>
      <c r="G29" s="52">
        <f t="shared" si="54"/>
        <v>0</v>
      </c>
      <c r="H29" s="53"/>
      <c r="I29" s="54">
        <f t="shared" si="55"/>
        <v>11.46</v>
      </c>
      <c r="J29" s="54">
        <f t="shared" si="56"/>
        <v>0.62</v>
      </c>
      <c r="K29" s="54">
        <f t="shared" si="57"/>
        <v>2.36</v>
      </c>
      <c r="L29" s="52">
        <f t="shared" si="58"/>
        <v>23.98</v>
      </c>
      <c r="M29" s="54">
        <f t="shared" si="59"/>
        <v>3.06</v>
      </c>
      <c r="N29" s="10">
        <f t="shared" si="50"/>
        <v>103.38000000000001</v>
      </c>
      <c r="P29" s="15">
        <f t="shared" si="60"/>
        <v>0.73107825999999998</v>
      </c>
    </row>
    <row r="30" spans="1:21" x14ac:dyDescent="0.3">
      <c r="A30" s="34">
        <v>44652</v>
      </c>
      <c r="B30" s="9">
        <v>744</v>
      </c>
      <c r="D30" s="52">
        <f t="shared" si="51"/>
        <v>14</v>
      </c>
      <c r="E30" s="52">
        <f t="shared" si="52"/>
        <v>37.94</v>
      </c>
      <c r="F30" s="52">
        <f t="shared" si="53"/>
        <v>4.71</v>
      </c>
      <c r="G30" s="52">
        <f t="shared" si="54"/>
        <v>0</v>
      </c>
      <c r="H30" s="53"/>
      <c r="I30" s="54">
        <f t="shared" si="55"/>
        <v>10.49</v>
      </c>
      <c r="J30" s="54">
        <f t="shared" si="56"/>
        <v>0.56999999999999995</v>
      </c>
      <c r="K30" s="54">
        <f t="shared" si="57"/>
        <v>2.16</v>
      </c>
      <c r="L30" s="52">
        <f t="shared" si="58"/>
        <v>21.01</v>
      </c>
      <c r="M30" s="54">
        <f t="shared" si="59"/>
        <v>2.77</v>
      </c>
      <c r="N30" s="10">
        <f t="shared" si="50"/>
        <v>93.649999999999991</v>
      </c>
      <c r="P30" s="15">
        <f t="shared" si="60"/>
        <v>0.64053187</v>
      </c>
    </row>
    <row r="31" spans="1:21" x14ac:dyDescent="0.3">
      <c r="A31" s="34">
        <v>44682</v>
      </c>
      <c r="B31" s="9">
        <v>911</v>
      </c>
      <c r="D31" s="52">
        <f t="shared" si="51"/>
        <v>14</v>
      </c>
      <c r="E31" s="52">
        <f t="shared" si="52"/>
        <v>37.94</v>
      </c>
      <c r="F31" s="52">
        <f t="shared" si="53"/>
        <v>13.07</v>
      </c>
      <c r="G31" s="52">
        <f t="shared" si="54"/>
        <v>0</v>
      </c>
      <c r="H31" s="53"/>
      <c r="I31" s="54">
        <f t="shared" si="55"/>
        <v>12.04</v>
      </c>
      <c r="J31" s="54">
        <f t="shared" si="56"/>
        <v>0.65</v>
      </c>
      <c r="K31" s="54">
        <f t="shared" si="57"/>
        <v>2.48</v>
      </c>
      <c r="L31" s="52">
        <f t="shared" si="58"/>
        <v>25.73</v>
      </c>
      <c r="M31" s="54">
        <f t="shared" si="59"/>
        <v>3.23</v>
      </c>
      <c r="N31" s="10">
        <f t="shared" si="50"/>
        <v>109.14</v>
      </c>
      <c r="P31" s="15">
        <f t="shared" si="60"/>
        <v>0.78443050999999997</v>
      </c>
    </row>
    <row r="32" spans="1:21" x14ac:dyDescent="0.3">
      <c r="A32" s="34">
        <v>44713</v>
      </c>
      <c r="B32" s="9">
        <v>1142</v>
      </c>
      <c r="D32" s="52">
        <f t="shared" si="51"/>
        <v>14</v>
      </c>
      <c r="E32" s="52">
        <f>ROUND(IF(B32&lt;650,B32*$D$84,650*$D$84),2)</f>
        <v>37.94</v>
      </c>
      <c r="F32" s="52">
        <f>ROUND(IF(B32&lt;651,0,IF(B32&lt;1000,(B32-650)*$D$85,350*$D$85)),2)</f>
        <v>33.93</v>
      </c>
      <c r="G32" s="52">
        <f>ROUND(IF(B32&lt;1001,0,(B32-1000)*$D$86),2)</f>
        <v>14.25</v>
      </c>
      <c r="H32" s="53"/>
      <c r="I32" s="54">
        <f>ROUND(SUM(D32:G32)*$G$83,2)</f>
        <v>18.54</v>
      </c>
      <c r="J32" s="54">
        <f t="shared" si="56"/>
        <v>1.01</v>
      </c>
      <c r="K32" s="54">
        <f t="shared" si="57"/>
        <v>3.82</v>
      </c>
      <c r="L32" s="52">
        <f>ROUND(B32*$G$82,2)</f>
        <v>32.97</v>
      </c>
      <c r="M32" s="54">
        <f t="shared" si="59"/>
        <v>4.7699999999999996</v>
      </c>
      <c r="N32" s="10">
        <f t="shared" si="50"/>
        <v>161.22999999999999</v>
      </c>
      <c r="P32" s="15">
        <f t="shared" si="60"/>
        <v>1.00515639</v>
      </c>
    </row>
    <row r="33" spans="1:18" x14ac:dyDescent="0.3">
      <c r="A33" s="34">
        <v>44743</v>
      </c>
      <c r="B33" s="9">
        <v>1355</v>
      </c>
      <c r="D33" s="52">
        <f t="shared" si="51"/>
        <v>14</v>
      </c>
      <c r="E33" s="52">
        <f t="shared" ref="E33:E35" si="61">ROUND(IF(B33&lt;650,B33*$D$84,650*$D$84),2)</f>
        <v>37.94</v>
      </c>
      <c r="F33" s="52">
        <f t="shared" ref="F33:F35" si="62">ROUND(IF(B33&lt;651,0,IF(B33&lt;1000,(B33-650)*$D$85,350*$D$85)),2)</f>
        <v>33.93</v>
      </c>
      <c r="G33" s="52">
        <f t="shared" ref="G33:G35" si="63">ROUND(IF(B33&lt;1001,0,(B33-1000)*$D$86),2)</f>
        <v>35.619999999999997</v>
      </c>
      <c r="H33" s="53"/>
      <c r="I33" s="54">
        <f t="shared" ref="I33:I35" si="64">ROUND(SUM(D33:G33)*$G$83,2)</f>
        <v>22.5</v>
      </c>
      <c r="J33" s="54">
        <f t="shared" ref="J33:J35" si="65">ROUND(SUM(D33:G33)*$G$85,2)</f>
        <v>1.22</v>
      </c>
      <c r="K33" s="54">
        <f t="shared" ref="K33:K35" si="66">ROUND(SUM(D33:G33)*$G$86,2)</f>
        <v>4.63</v>
      </c>
      <c r="L33" s="52">
        <f t="shared" ref="L33:L35" si="67">ROUND(B33*$G$82,2)</f>
        <v>39.119999999999997</v>
      </c>
      <c r="M33" s="54">
        <f t="shared" si="59"/>
        <v>5.76</v>
      </c>
      <c r="N33" s="10">
        <f t="shared" si="50"/>
        <v>194.72</v>
      </c>
      <c r="P33" s="15">
        <f t="shared" si="60"/>
        <v>1.1926514399999999</v>
      </c>
    </row>
    <row r="34" spans="1:18" x14ac:dyDescent="0.3">
      <c r="A34" s="34">
        <v>44774</v>
      </c>
      <c r="B34" s="9">
        <v>1305</v>
      </c>
      <c r="D34" s="52">
        <f t="shared" si="51"/>
        <v>14</v>
      </c>
      <c r="E34" s="52">
        <f t="shared" si="61"/>
        <v>37.94</v>
      </c>
      <c r="F34" s="52">
        <f t="shared" si="62"/>
        <v>33.93</v>
      </c>
      <c r="G34" s="52">
        <f t="shared" si="63"/>
        <v>30.6</v>
      </c>
      <c r="H34" s="53"/>
      <c r="I34" s="54">
        <f t="shared" si="64"/>
        <v>21.57</v>
      </c>
      <c r="J34" s="54">
        <f t="shared" si="65"/>
        <v>1.17</v>
      </c>
      <c r="K34" s="54">
        <f t="shared" si="66"/>
        <v>4.4400000000000004</v>
      </c>
      <c r="L34" s="52">
        <f t="shared" si="67"/>
        <v>37.68</v>
      </c>
      <c r="M34" s="54">
        <f t="shared" si="59"/>
        <v>5.53</v>
      </c>
      <c r="N34" s="10">
        <f t="shared" si="50"/>
        <v>186.85999999999999</v>
      </c>
      <c r="P34" s="15">
        <f t="shared" si="60"/>
        <v>1.1487501600000001</v>
      </c>
    </row>
    <row r="35" spans="1:18" x14ac:dyDescent="0.3">
      <c r="A35" s="34">
        <v>44805</v>
      </c>
      <c r="B35" s="9">
        <v>1002</v>
      </c>
      <c r="D35" s="52">
        <f t="shared" si="51"/>
        <v>14</v>
      </c>
      <c r="E35" s="52">
        <f t="shared" si="61"/>
        <v>37.94</v>
      </c>
      <c r="F35" s="52">
        <f t="shared" si="62"/>
        <v>33.93</v>
      </c>
      <c r="G35" s="52">
        <f t="shared" si="63"/>
        <v>0.2</v>
      </c>
      <c r="H35" s="53"/>
      <c r="I35" s="54">
        <f t="shared" si="64"/>
        <v>15.94</v>
      </c>
      <c r="J35" s="54">
        <f t="shared" si="65"/>
        <v>0.87</v>
      </c>
      <c r="K35" s="54">
        <f t="shared" si="66"/>
        <v>3.28</v>
      </c>
      <c r="L35" s="52">
        <f t="shared" si="67"/>
        <v>28.93</v>
      </c>
      <c r="M35" s="54">
        <f t="shared" si="59"/>
        <v>4.12</v>
      </c>
      <c r="N35" s="10">
        <f t="shared" si="50"/>
        <v>139.21</v>
      </c>
      <c r="P35" s="15">
        <f t="shared" si="60"/>
        <v>0.88198891000000001</v>
      </c>
    </row>
    <row r="36" spans="1:18" x14ac:dyDescent="0.3">
      <c r="A36" s="34">
        <v>44835</v>
      </c>
      <c r="B36" s="9">
        <v>824</v>
      </c>
      <c r="D36" s="52">
        <f t="shared" si="51"/>
        <v>14</v>
      </c>
      <c r="E36" s="52">
        <f t="shared" si="52"/>
        <v>37.94</v>
      </c>
      <c r="F36" s="52">
        <f t="shared" si="53"/>
        <v>8.7100000000000009</v>
      </c>
      <c r="G36" s="52">
        <f t="shared" si="54"/>
        <v>0</v>
      </c>
      <c r="H36" s="53"/>
      <c r="I36" s="54">
        <f t="shared" si="55"/>
        <v>11.23</v>
      </c>
      <c r="J36" s="54">
        <f t="shared" si="56"/>
        <v>0.61</v>
      </c>
      <c r="K36" s="54">
        <f t="shared" si="57"/>
        <v>2.31</v>
      </c>
      <c r="L36" s="52">
        <f t="shared" si="58"/>
        <v>23.27</v>
      </c>
      <c r="M36" s="54">
        <f t="shared" si="59"/>
        <v>2.99</v>
      </c>
      <c r="N36" s="10">
        <f>SUM(D36:M36)</f>
        <v>101.05999999999999</v>
      </c>
      <c r="P36" s="15">
        <f t="shared" si="60"/>
        <v>0.70943248999999997</v>
      </c>
    </row>
    <row r="37" spans="1:18" x14ac:dyDescent="0.3">
      <c r="A37" s="34">
        <v>44866</v>
      </c>
      <c r="B37" s="9">
        <v>812</v>
      </c>
      <c r="D37" s="52">
        <f t="shared" si="51"/>
        <v>14</v>
      </c>
      <c r="E37" s="52">
        <f t="shared" si="52"/>
        <v>37.94</v>
      </c>
      <c r="F37" s="52">
        <f t="shared" si="53"/>
        <v>8.11</v>
      </c>
      <c r="G37" s="52">
        <f t="shared" si="54"/>
        <v>0</v>
      </c>
      <c r="H37" s="53"/>
      <c r="I37" s="54">
        <f t="shared" si="55"/>
        <v>11.12</v>
      </c>
      <c r="J37" s="54">
        <f t="shared" si="56"/>
        <v>0.6</v>
      </c>
      <c r="K37" s="54">
        <f t="shared" si="57"/>
        <v>2.29</v>
      </c>
      <c r="L37" s="52">
        <f t="shared" si="58"/>
        <v>22.93</v>
      </c>
      <c r="M37" s="54">
        <f t="shared" si="59"/>
        <v>2.96</v>
      </c>
      <c r="N37" s="10">
        <f t="shared" ref="N37:N38" si="68">SUM(D37:M37)</f>
        <v>99.95</v>
      </c>
      <c r="P37" s="15">
        <f t="shared" si="60"/>
        <v>0.69906690999999999</v>
      </c>
    </row>
    <row r="38" spans="1:18" x14ac:dyDescent="0.3">
      <c r="A38" s="34">
        <v>44896</v>
      </c>
      <c r="B38" s="9">
        <v>1054</v>
      </c>
      <c r="D38" s="52">
        <f t="shared" si="51"/>
        <v>14</v>
      </c>
      <c r="E38" s="52">
        <f t="shared" si="52"/>
        <v>37.94</v>
      </c>
      <c r="F38" s="52">
        <f t="shared" si="53"/>
        <v>17.52</v>
      </c>
      <c r="G38" s="52">
        <f t="shared" si="54"/>
        <v>2.65</v>
      </c>
      <c r="H38" s="53"/>
      <c r="I38" s="54">
        <f t="shared" si="55"/>
        <v>13.35</v>
      </c>
      <c r="J38" s="54">
        <f t="shared" si="56"/>
        <v>0.72</v>
      </c>
      <c r="K38" s="54">
        <f t="shared" si="57"/>
        <v>2.75</v>
      </c>
      <c r="L38" s="52">
        <f t="shared" si="58"/>
        <v>29.77</v>
      </c>
      <c r="M38" s="54">
        <f t="shared" si="59"/>
        <v>3.62</v>
      </c>
      <c r="N38" s="10">
        <f t="shared" si="68"/>
        <v>122.32</v>
      </c>
      <c r="P38" s="15">
        <f t="shared" si="60"/>
        <v>0.90759798999999997</v>
      </c>
    </row>
    <row r="40" spans="1:18" x14ac:dyDescent="0.3">
      <c r="A40" s="9" t="s">
        <v>26</v>
      </c>
      <c r="B40" s="13">
        <f>SUM(B3:B38)</f>
        <v>36000</v>
      </c>
      <c r="F40" s="9" t="s">
        <v>27</v>
      </c>
      <c r="G40" s="10">
        <f>SUM(D3:G38)</f>
        <v>2703.04</v>
      </c>
      <c r="I40" s="10">
        <f t="shared" ref="I40:N40" si="69">SUM(I3:I38)</f>
        <v>528.79999999999995</v>
      </c>
      <c r="J40" s="10">
        <f t="shared" si="69"/>
        <v>41.429999999999986</v>
      </c>
      <c r="K40" s="10">
        <f t="shared" si="69"/>
        <v>170.26</v>
      </c>
      <c r="L40" s="10">
        <f t="shared" si="69"/>
        <v>947.39999999999986</v>
      </c>
      <c r="M40" s="10">
        <f t="shared" si="69"/>
        <v>134.09</v>
      </c>
      <c r="N40" s="10">
        <f t="shared" si="69"/>
        <v>4525.0199999999995</v>
      </c>
      <c r="P40" s="15">
        <f>SUM(P3:P38)</f>
        <v>28.928863079999992</v>
      </c>
      <c r="R40" s="36"/>
    </row>
    <row r="41" spans="1:18" x14ac:dyDescent="0.3">
      <c r="B41" s="13"/>
      <c r="G41" s="10"/>
      <c r="I41" s="10"/>
      <c r="J41" s="10"/>
      <c r="K41" s="10"/>
      <c r="L41" s="10"/>
      <c r="M41" s="10"/>
      <c r="N41" s="10"/>
      <c r="P41" s="15"/>
    </row>
    <row r="42" spans="1:18" x14ac:dyDescent="0.3">
      <c r="B42" s="17"/>
      <c r="G42" s="10"/>
      <c r="I42" s="10"/>
      <c r="J42" s="10"/>
      <c r="K42" s="10"/>
      <c r="L42" s="10"/>
      <c r="M42" s="10"/>
      <c r="N42" s="10"/>
      <c r="P42" s="15"/>
    </row>
    <row r="43" spans="1:18" ht="15.6" x14ac:dyDescent="0.45">
      <c r="A43" s="18" t="s">
        <v>28</v>
      </c>
      <c r="B43" s="19"/>
      <c r="C43" s="19"/>
      <c r="D43" s="19"/>
      <c r="E43" s="19"/>
      <c r="F43" s="19"/>
      <c r="G43" s="20"/>
      <c r="I43" s="21"/>
      <c r="J43" s="22"/>
      <c r="K43" s="22"/>
      <c r="L43" s="23"/>
      <c r="M43" s="23"/>
    </row>
    <row r="44" spans="1:18" s="53" customFormat="1" x14ac:dyDescent="0.3">
      <c r="A44" s="93" t="s">
        <v>29</v>
      </c>
      <c r="B44" s="94"/>
      <c r="C44" s="55"/>
      <c r="D44" s="56">
        <v>10</v>
      </c>
      <c r="F44" s="57" t="s">
        <v>30</v>
      </c>
      <c r="G44" s="58"/>
      <c r="K44" s="59"/>
    </row>
    <row r="45" spans="1:18" s="53" customFormat="1" x14ac:dyDescent="0.3">
      <c r="A45" s="97" t="s">
        <v>31</v>
      </c>
      <c r="B45" s="98"/>
      <c r="C45" s="55"/>
      <c r="D45" s="60">
        <v>5.6582E-2</v>
      </c>
      <c r="F45" s="61" t="s">
        <v>32</v>
      </c>
      <c r="G45" s="62">
        <v>2.8812999999999998E-2</v>
      </c>
      <c r="I45" s="54"/>
      <c r="J45" s="63"/>
      <c r="K45" s="64"/>
      <c r="L45" s="54"/>
      <c r="M45" s="54"/>
    </row>
    <row r="46" spans="1:18" s="53" customFormat="1" x14ac:dyDescent="0.3">
      <c r="A46" s="99" t="s">
        <v>33</v>
      </c>
      <c r="B46" s="100"/>
      <c r="D46" s="65">
        <v>4.8533E-2</v>
      </c>
      <c r="F46" s="66" t="s">
        <v>34</v>
      </c>
      <c r="G46" s="67">
        <v>3.1718000000000003E-2</v>
      </c>
    </row>
    <row r="47" spans="1:18" s="53" customFormat="1" x14ac:dyDescent="0.3">
      <c r="A47" s="95" t="s">
        <v>35</v>
      </c>
      <c r="B47" s="96"/>
      <c r="C47" s="68"/>
      <c r="D47" s="69">
        <v>4.7641000000000003E-2</v>
      </c>
      <c r="F47" s="57" t="s">
        <v>36</v>
      </c>
      <c r="G47" s="70">
        <v>0.20419399999999999</v>
      </c>
    </row>
    <row r="48" spans="1:18" s="53" customFormat="1" x14ac:dyDescent="0.3">
      <c r="A48" s="97" t="s">
        <v>37</v>
      </c>
      <c r="B48" s="98"/>
      <c r="D48" s="65">
        <v>5.6582E-2</v>
      </c>
      <c r="F48" s="71" t="s">
        <v>38</v>
      </c>
      <c r="G48" s="72">
        <v>3.0540999999999999E-2</v>
      </c>
      <c r="I48" s="73"/>
    </row>
    <row r="49" spans="1:14" s="53" customFormat="1" x14ac:dyDescent="0.3">
      <c r="A49" s="99" t="s">
        <v>39</v>
      </c>
      <c r="B49" s="100"/>
      <c r="D49" s="65">
        <v>9.3982999999999997E-2</v>
      </c>
      <c r="F49" s="66" t="s">
        <v>20</v>
      </c>
      <c r="G49" s="72">
        <v>1.8877999999999999E-2</v>
      </c>
    </row>
    <row r="50" spans="1:14" s="53" customFormat="1" x14ac:dyDescent="0.3">
      <c r="A50" s="95" t="s">
        <v>40</v>
      </c>
      <c r="B50" s="96"/>
      <c r="C50" s="68"/>
      <c r="D50" s="69">
        <v>9.7272999999999998E-2</v>
      </c>
      <c r="E50" s="68"/>
      <c r="F50" s="66" t="s">
        <v>41</v>
      </c>
      <c r="G50" s="72">
        <v>9.4596E-2</v>
      </c>
    </row>
    <row r="51" spans="1:14" x14ac:dyDescent="0.3">
      <c r="A51" s="11"/>
      <c r="B51" s="11"/>
      <c r="C51" s="11"/>
      <c r="D51" s="11"/>
      <c r="E51" s="11"/>
      <c r="H51" s="11"/>
      <c r="I51" s="11"/>
      <c r="J51" s="11"/>
      <c r="K51" s="11"/>
      <c r="L51" s="11"/>
      <c r="M51" s="11"/>
      <c r="N51" s="11"/>
    </row>
    <row r="52" spans="1:14" x14ac:dyDescent="0.3">
      <c r="A52" s="18" t="s">
        <v>42</v>
      </c>
      <c r="B52" s="19"/>
      <c r="C52" s="19"/>
      <c r="D52" s="19"/>
      <c r="E52" s="19"/>
      <c r="F52" s="19"/>
      <c r="G52" s="20"/>
      <c r="I52" s="10"/>
      <c r="J52" s="30"/>
      <c r="K52" s="30"/>
      <c r="N52" s="10"/>
    </row>
    <row r="53" spans="1:14" s="53" customFormat="1" x14ac:dyDescent="0.3">
      <c r="A53" s="93" t="s">
        <v>29</v>
      </c>
      <c r="B53" s="94"/>
      <c r="C53" s="55"/>
      <c r="D53" s="56">
        <v>10</v>
      </c>
      <c r="F53" s="57" t="s">
        <v>43</v>
      </c>
      <c r="G53" s="58"/>
      <c r="I53" s="54"/>
      <c r="J53" s="52"/>
      <c r="K53" s="52"/>
      <c r="N53" s="54"/>
    </row>
    <row r="54" spans="1:14" s="53" customFormat="1" x14ac:dyDescent="0.3">
      <c r="A54" s="74" t="s">
        <v>31</v>
      </c>
      <c r="B54" s="75"/>
      <c r="C54" s="55"/>
      <c r="D54" s="60">
        <v>5.6582E-2</v>
      </c>
      <c r="F54" s="61" t="s">
        <v>32</v>
      </c>
      <c r="G54" s="62">
        <v>2.4556999999999999E-2</v>
      </c>
      <c r="I54" s="54"/>
      <c r="J54" s="52"/>
      <c r="K54" s="52"/>
      <c r="N54" s="54"/>
    </row>
    <row r="55" spans="1:14" s="53" customFormat="1" x14ac:dyDescent="0.3">
      <c r="A55" s="76" t="s">
        <v>33</v>
      </c>
      <c r="B55" s="77"/>
      <c r="D55" s="65">
        <v>4.8533E-2</v>
      </c>
      <c r="F55" s="66" t="s">
        <v>34</v>
      </c>
      <c r="G55" s="67">
        <v>2.3375E-2</v>
      </c>
      <c r="I55" s="54"/>
      <c r="J55" s="52"/>
      <c r="K55" s="52"/>
      <c r="N55" s="54"/>
    </row>
    <row r="56" spans="1:14" s="53" customFormat="1" x14ac:dyDescent="0.3">
      <c r="A56" s="78" t="s">
        <v>35</v>
      </c>
      <c r="B56" s="79"/>
      <c r="C56" s="68"/>
      <c r="D56" s="69">
        <v>4.7641000000000003E-2</v>
      </c>
      <c r="F56" s="57" t="s">
        <v>36</v>
      </c>
      <c r="G56" s="70">
        <v>0.20419399999999999</v>
      </c>
      <c r="I56" s="54"/>
      <c r="J56" s="52"/>
      <c r="K56" s="52"/>
      <c r="N56" s="54"/>
    </row>
    <row r="57" spans="1:14" s="53" customFormat="1" x14ac:dyDescent="0.3">
      <c r="A57" s="74" t="s">
        <v>37</v>
      </c>
      <c r="B57" s="75"/>
      <c r="D57" s="65">
        <v>5.6582E-2</v>
      </c>
      <c r="F57" s="71" t="s">
        <v>38</v>
      </c>
      <c r="G57" s="72">
        <f>G48</f>
        <v>3.0540999999999999E-2</v>
      </c>
      <c r="I57" s="80"/>
      <c r="J57" s="52"/>
      <c r="K57" s="52"/>
      <c r="N57" s="54"/>
    </row>
    <row r="58" spans="1:14" s="53" customFormat="1" x14ac:dyDescent="0.3">
      <c r="A58" s="76" t="s">
        <v>39</v>
      </c>
      <c r="B58" s="77"/>
      <c r="D58" s="65">
        <v>9.3982999999999997E-2</v>
      </c>
      <c r="F58" s="66" t="s">
        <v>20</v>
      </c>
      <c r="G58" s="72">
        <v>1.8877999999999999E-2</v>
      </c>
      <c r="I58" s="54"/>
      <c r="J58" s="52"/>
      <c r="K58" s="52"/>
      <c r="N58" s="54"/>
    </row>
    <row r="59" spans="1:14" s="53" customFormat="1" x14ac:dyDescent="0.3">
      <c r="A59" s="78" t="s">
        <v>40</v>
      </c>
      <c r="B59" s="79"/>
      <c r="C59" s="68"/>
      <c r="D59" s="69">
        <v>9.7272999999999998E-2</v>
      </c>
      <c r="E59" s="68"/>
      <c r="F59" s="66" t="s">
        <v>41</v>
      </c>
      <c r="G59" s="72">
        <v>9.4596E-2</v>
      </c>
      <c r="I59" s="54"/>
      <c r="J59" s="52"/>
      <c r="K59" s="52"/>
      <c r="N59" s="54"/>
    </row>
    <row r="60" spans="1:14" x14ac:dyDescent="0.3">
      <c r="B60" s="17"/>
      <c r="D60" s="30"/>
      <c r="E60" s="30"/>
      <c r="F60" s="30"/>
      <c r="G60" s="30"/>
      <c r="I60" s="10"/>
      <c r="J60" s="30"/>
      <c r="K60" s="30"/>
      <c r="N60" s="10"/>
    </row>
    <row r="61" spans="1:14" s="1" customFormat="1" x14ac:dyDescent="0.3">
      <c r="A61" s="18" t="s">
        <v>44</v>
      </c>
      <c r="B61" s="19"/>
      <c r="C61" s="19"/>
      <c r="D61" s="19"/>
      <c r="E61" s="19"/>
      <c r="F61" s="19"/>
      <c r="G61" s="20"/>
    </row>
    <row r="62" spans="1:14" s="83" customFormat="1" x14ac:dyDescent="0.3">
      <c r="A62" s="81" t="s">
        <v>29</v>
      </c>
      <c r="B62" s="82"/>
      <c r="C62" s="55"/>
      <c r="D62" s="56">
        <v>10</v>
      </c>
      <c r="E62" s="53"/>
      <c r="F62" s="57" t="s">
        <v>45</v>
      </c>
      <c r="G62" s="58"/>
    </row>
    <row r="63" spans="1:14" s="83" customFormat="1" x14ac:dyDescent="0.3">
      <c r="A63" s="74" t="s">
        <v>31</v>
      </c>
      <c r="B63" s="75"/>
      <c r="C63" s="55"/>
      <c r="D63" s="60">
        <v>5.6582E-2</v>
      </c>
      <c r="E63" s="53"/>
      <c r="F63" s="61" t="s">
        <v>32</v>
      </c>
      <c r="G63" s="62">
        <v>2.4556999999999999E-2</v>
      </c>
    </row>
    <row r="64" spans="1:14" s="83" customFormat="1" x14ac:dyDescent="0.3">
      <c r="A64" s="76" t="s">
        <v>33</v>
      </c>
      <c r="B64" s="77"/>
      <c r="C64" s="53"/>
      <c r="D64" s="65">
        <v>4.8533E-2</v>
      </c>
      <c r="E64" s="53"/>
      <c r="F64" s="66" t="s">
        <v>34</v>
      </c>
      <c r="G64" s="67">
        <v>2.5104000000000001E-2</v>
      </c>
    </row>
    <row r="65" spans="1:9" s="83" customFormat="1" x14ac:dyDescent="0.3">
      <c r="A65" s="78" t="s">
        <v>35</v>
      </c>
      <c r="B65" s="79"/>
      <c r="C65" s="68"/>
      <c r="D65" s="69">
        <v>4.7641000000000003E-2</v>
      </c>
      <c r="E65" s="53"/>
      <c r="F65" s="57" t="s">
        <v>36</v>
      </c>
      <c r="G65" s="70">
        <v>0.20419399999999999</v>
      </c>
    </row>
    <row r="66" spans="1:9" s="83" customFormat="1" x14ac:dyDescent="0.3">
      <c r="A66" s="74" t="s">
        <v>37</v>
      </c>
      <c r="B66" s="75"/>
      <c r="C66" s="53"/>
      <c r="D66" s="65">
        <v>5.6582E-2</v>
      </c>
      <c r="E66" s="53"/>
      <c r="F66" s="71" t="s">
        <v>38</v>
      </c>
      <c r="G66" s="72">
        <f>G57</f>
        <v>3.0540999999999999E-2</v>
      </c>
      <c r="I66" s="84"/>
    </row>
    <row r="67" spans="1:9" s="83" customFormat="1" x14ac:dyDescent="0.3">
      <c r="A67" s="76" t="s">
        <v>39</v>
      </c>
      <c r="B67" s="77"/>
      <c r="C67" s="53"/>
      <c r="D67" s="65">
        <v>9.3982999999999997E-2</v>
      </c>
      <c r="E67" s="53"/>
      <c r="F67" s="66" t="s">
        <v>20</v>
      </c>
      <c r="G67" s="72">
        <v>1.8877999999999999E-2</v>
      </c>
    </row>
    <row r="68" spans="1:9" s="83" customFormat="1" x14ac:dyDescent="0.3">
      <c r="A68" s="78" t="s">
        <v>40</v>
      </c>
      <c r="B68" s="79"/>
      <c r="C68" s="68"/>
      <c r="D68" s="69">
        <v>9.7272999999999998E-2</v>
      </c>
      <c r="E68" s="68"/>
      <c r="F68" s="66" t="s">
        <v>41</v>
      </c>
      <c r="G68" s="72">
        <v>9.4596E-2</v>
      </c>
    </row>
    <row r="69" spans="1:9" s="1" customFormat="1" x14ac:dyDescent="0.3"/>
    <row r="70" spans="1:9" s="1" customFormat="1" x14ac:dyDescent="0.3">
      <c r="A70" s="18" t="s">
        <v>46</v>
      </c>
      <c r="B70" s="19"/>
      <c r="C70" s="19"/>
      <c r="D70" s="19"/>
      <c r="E70" s="19"/>
      <c r="F70" s="19"/>
      <c r="G70" s="20"/>
    </row>
    <row r="71" spans="1:9" s="83" customFormat="1" x14ac:dyDescent="0.3">
      <c r="A71" s="81" t="s">
        <v>29</v>
      </c>
      <c r="B71" s="82"/>
      <c r="C71" s="55"/>
      <c r="D71" s="56">
        <v>12</v>
      </c>
      <c r="E71" s="53"/>
      <c r="F71" s="57" t="s">
        <v>45</v>
      </c>
      <c r="G71" s="58"/>
    </row>
    <row r="72" spans="1:9" s="83" customFormat="1" x14ac:dyDescent="0.3">
      <c r="A72" s="74" t="s">
        <v>31</v>
      </c>
      <c r="B72" s="75"/>
      <c r="C72" s="55"/>
      <c r="D72" s="60">
        <v>5.6874000000000001E-2</v>
      </c>
      <c r="E72" s="53"/>
      <c r="F72" s="61" t="s">
        <v>32</v>
      </c>
      <c r="G72" s="62">
        <v>2.4556999999999999E-2</v>
      </c>
    </row>
    <row r="73" spans="1:9" s="83" customFormat="1" x14ac:dyDescent="0.3">
      <c r="A73" s="76" t="s">
        <v>33</v>
      </c>
      <c r="B73" s="77"/>
      <c r="C73" s="53"/>
      <c r="D73" s="65">
        <v>4.8784000000000001E-2</v>
      </c>
      <c r="E73" s="53"/>
      <c r="F73" s="66" t="s">
        <v>34</v>
      </c>
      <c r="G73" s="67">
        <v>2.5104000000000001E-2</v>
      </c>
    </row>
    <row r="74" spans="1:9" s="83" customFormat="1" x14ac:dyDescent="0.3">
      <c r="A74" s="78" t="s">
        <v>35</v>
      </c>
      <c r="B74" s="79"/>
      <c r="C74" s="68"/>
      <c r="D74" s="69">
        <v>4.7886999999999999E-2</v>
      </c>
      <c r="E74" s="53"/>
      <c r="F74" s="57" t="s">
        <v>36</v>
      </c>
      <c r="G74" s="70">
        <v>0.19827600000000001</v>
      </c>
    </row>
    <row r="75" spans="1:9" s="83" customFormat="1" x14ac:dyDescent="0.3">
      <c r="A75" s="74" t="s">
        <v>37</v>
      </c>
      <c r="B75" s="75"/>
      <c r="C75" s="53"/>
      <c r="D75" s="65">
        <v>5.6874000000000001E-2</v>
      </c>
      <c r="E75" s="53"/>
      <c r="F75" s="71" t="s">
        <v>38</v>
      </c>
      <c r="G75" s="72">
        <v>3.0584E-2</v>
      </c>
    </row>
    <row r="76" spans="1:9" s="83" customFormat="1" x14ac:dyDescent="0.3">
      <c r="A76" s="76" t="s">
        <v>39</v>
      </c>
      <c r="B76" s="77"/>
      <c r="C76" s="53"/>
      <c r="D76" s="65">
        <v>9.4467999999999996E-2</v>
      </c>
      <c r="E76" s="53"/>
      <c r="F76" s="66" t="s">
        <v>20</v>
      </c>
      <c r="G76" s="72">
        <v>1.7437999999999999E-2</v>
      </c>
    </row>
    <row r="77" spans="1:9" s="83" customFormat="1" x14ac:dyDescent="0.3">
      <c r="A77" s="78" t="s">
        <v>40</v>
      </c>
      <c r="B77" s="79"/>
      <c r="C77" s="68"/>
      <c r="D77" s="69">
        <v>9.7775000000000001E-2</v>
      </c>
      <c r="E77" s="68"/>
      <c r="F77" s="66" t="s">
        <v>41</v>
      </c>
      <c r="G77" s="72">
        <v>5.8456000000000001E-2</v>
      </c>
    </row>
    <row r="78" spans="1:9" s="1" customFormat="1" x14ac:dyDescent="0.3"/>
    <row r="79" spans="1:9" s="1" customFormat="1" x14ac:dyDescent="0.3">
      <c r="A79" s="18" t="s">
        <v>47</v>
      </c>
      <c r="B79" s="19"/>
      <c r="C79" s="19"/>
      <c r="D79" s="19"/>
      <c r="E79" s="19"/>
      <c r="F79" s="19"/>
      <c r="G79" s="20"/>
    </row>
    <row r="80" spans="1:9" s="83" customFormat="1" x14ac:dyDescent="0.3">
      <c r="A80" s="81" t="s">
        <v>29</v>
      </c>
      <c r="B80" s="82"/>
      <c r="C80" s="55"/>
      <c r="D80" s="56">
        <v>14</v>
      </c>
      <c r="E80" s="53"/>
      <c r="F80" s="57" t="s">
        <v>48</v>
      </c>
      <c r="G80" s="58"/>
    </row>
    <row r="81" spans="1:7" s="83" customFormat="1" x14ac:dyDescent="0.3">
      <c r="A81" s="74" t="s">
        <v>31</v>
      </c>
      <c r="B81" s="75"/>
      <c r="C81" s="55"/>
      <c r="D81" s="60">
        <v>5.8366000000000001E-2</v>
      </c>
      <c r="E81" s="53"/>
      <c r="F81" s="61" t="s">
        <v>32</v>
      </c>
      <c r="G81" s="62">
        <v>2.8240999999999999E-2</v>
      </c>
    </row>
    <row r="82" spans="1:7" s="83" customFormat="1" x14ac:dyDescent="0.3">
      <c r="A82" s="76" t="s">
        <v>33</v>
      </c>
      <c r="B82" s="77"/>
      <c r="C82" s="53"/>
      <c r="D82" s="65">
        <v>5.0061999999999995E-2</v>
      </c>
      <c r="E82" s="53"/>
      <c r="F82" s="66" t="s">
        <v>34</v>
      </c>
      <c r="G82" s="67">
        <v>2.887E-2</v>
      </c>
    </row>
    <row r="83" spans="1:7" s="83" customFormat="1" x14ac:dyDescent="0.3">
      <c r="A83" s="78" t="s">
        <v>35</v>
      </c>
      <c r="B83" s="79"/>
      <c r="C83" s="68"/>
      <c r="D83" s="69">
        <v>4.9142999999999999E-2</v>
      </c>
      <c r="E83" s="53"/>
      <c r="F83" s="57" t="s">
        <v>36</v>
      </c>
      <c r="G83" s="70">
        <v>0.18517900000000001</v>
      </c>
    </row>
    <row r="84" spans="1:7" s="83" customFormat="1" x14ac:dyDescent="0.3">
      <c r="A84" s="74" t="s">
        <v>37</v>
      </c>
      <c r="B84" s="75"/>
      <c r="C84" s="53"/>
      <c r="D84" s="65">
        <v>5.8366000000000001E-2</v>
      </c>
      <c r="E84" s="53"/>
      <c r="F84" s="71" t="s">
        <v>38</v>
      </c>
      <c r="G84" s="72">
        <v>3.0487E-2</v>
      </c>
    </row>
    <row r="85" spans="1:7" s="83" customFormat="1" x14ac:dyDescent="0.3">
      <c r="A85" s="76" t="s">
        <v>39</v>
      </c>
      <c r="B85" s="77"/>
      <c r="C85" s="53"/>
      <c r="D85" s="65">
        <v>9.6943000000000001E-2</v>
      </c>
      <c r="E85" s="53"/>
      <c r="F85" s="66" t="s">
        <v>20</v>
      </c>
      <c r="G85" s="72">
        <v>1.0052999999999999E-2</v>
      </c>
    </row>
    <row r="86" spans="1:7" s="83" customFormat="1" x14ac:dyDescent="0.3">
      <c r="A86" s="78" t="s">
        <v>40</v>
      </c>
      <c r="B86" s="79"/>
      <c r="C86" s="68"/>
      <c r="D86" s="69">
        <v>0.10033599999999999</v>
      </c>
      <c r="E86" s="68"/>
      <c r="F86" s="66" t="s">
        <v>41</v>
      </c>
      <c r="G86" s="72">
        <v>3.8129999999999997E-2</v>
      </c>
    </row>
    <row r="87" spans="1:7" customFormat="1" ht="13.2" x14ac:dyDescent="0.25"/>
    <row r="88" spans="1:7" customFormat="1" ht="13.2" x14ac:dyDescent="0.25"/>
    <row r="89" spans="1:7" customFormat="1" ht="13.2" x14ac:dyDescent="0.25"/>
    <row r="90" spans="1:7" customFormat="1" ht="13.2" x14ac:dyDescent="0.25"/>
    <row r="91" spans="1:7" customFormat="1" ht="13.2" x14ac:dyDescent="0.25"/>
    <row r="92" spans="1:7" customFormat="1" ht="13.2" x14ac:dyDescent="0.25"/>
    <row r="93" spans="1:7" customFormat="1" ht="13.2" x14ac:dyDescent="0.25"/>
    <row r="94" spans="1:7" customFormat="1" ht="13.2" x14ac:dyDescent="0.25"/>
  </sheetData>
  <mergeCells count="8">
    <mergeCell ref="A53:B53"/>
    <mergeCell ref="A50:B50"/>
    <mergeCell ref="A44:B44"/>
    <mergeCell ref="A45:B45"/>
    <mergeCell ref="A46:B46"/>
    <mergeCell ref="A47:B47"/>
    <mergeCell ref="A48:B48"/>
    <mergeCell ref="A49:B49"/>
  </mergeCells>
  <phoneticPr fontId="3" type="noConversion"/>
  <pageMargins left="0.75" right="0.75" top="1.25" bottom="1" header="0.8" footer="0.8"/>
  <pageSetup scale="74" fitToHeight="0" orientation="landscape" r:id="rId1"/>
  <headerFooter alignWithMargins="0">
    <oddHeader>&amp;R&amp;12MFRH 1.1
Docket No. 44902</oddHeader>
    <oddFooter>&amp;RPage &amp;P of &amp;N</oddFooter>
  </headerFooter>
  <rowBreaks count="1" manualBreakCount="1">
    <brk id="41" max="1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895116-5850-4F8D-AE13-B05767A80BAF}">
  <sheetPr codeName="Sheet6">
    <tabColor indexed="43"/>
  </sheetPr>
  <dimension ref="A1:U98"/>
  <sheetViews>
    <sheetView zoomScaleNormal="100" zoomScaleSheetLayoutView="75" workbookViewId="0">
      <selection activeCell="J63" sqref="J63"/>
    </sheetView>
  </sheetViews>
  <sheetFormatPr defaultColWidth="9.109375" defaultRowHeight="13.8" x14ac:dyDescent="0.3"/>
  <cols>
    <col min="1" max="1" width="14.88671875" style="9" customWidth="1"/>
    <col min="2" max="2" width="9.109375" style="9" customWidth="1"/>
    <col min="3" max="3" width="9.88671875" style="9" customWidth="1"/>
    <col min="4" max="4" width="11.5546875" style="9" bestFit="1" customWidth="1"/>
    <col min="5" max="5" width="13.6640625" style="9" bestFit="1" customWidth="1"/>
    <col min="6" max="6" width="10.6640625" style="9" bestFit="1" customWidth="1"/>
    <col min="7" max="7" width="15.33203125" style="9" customWidth="1"/>
    <col min="8" max="8" width="2.77734375" style="9" customWidth="1"/>
    <col min="9" max="9" width="8.5546875" style="9" bestFit="1" customWidth="1"/>
    <col min="10" max="10" width="13" style="9" customWidth="1"/>
    <col min="11" max="11" width="11.6640625" style="9" customWidth="1"/>
    <col min="12" max="12" width="9.33203125" style="9" bestFit="1" customWidth="1"/>
    <col min="13" max="14" width="11.88671875" style="9" customWidth="1"/>
    <col min="15" max="15" width="3.109375" style="9" customWidth="1"/>
    <col min="16" max="16" width="7.5546875" style="9" bestFit="1" customWidth="1"/>
    <col min="17" max="17" width="9.6640625" style="9" bestFit="1" customWidth="1"/>
    <col min="18" max="16384" width="9.109375" style="9"/>
  </cols>
  <sheetData>
    <row r="1" spans="1:21" ht="18" x14ac:dyDescent="0.35">
      <c r="A1" s="8" t="s">
        <v>49</v>
      </c>
      <c r="J1" s="10"/>
      <c r="K1" s="10"/>
      <c r="M1" s="10"/>
      <c r="O1" s="10"/>
      <c r="R1" s="10"/>
    </row>
    <row r="2" spans="1:21" s="11" customFormat="1" ht="27.6" x14ac:dyDescent="0.3">
      <c r="A2" s="11" t="s">
        <v>13</v>
      </c>
      <c r="B2" s="11" t="s">
        <v>14</v>
      </c>
      <c r="D2" s="11" t="s">
        <v>15</v>
      </c>
      <c r="E2" s="11" t="s">
        <v>16</v>
      </c>
      <c r="F2" s="11" t="s">
        <v>17</v>
      </c>
      <c r="G2" s="11" t="s">
        <v>18</v>
      </c>
      <c r="I2" s="11" t="s">
        <v>19</v>
      </c>
      <c r="J2" s="11" t="s">
        <v>20</v>
      </c>
      <c r="K2" s="11" t="s">
        <v>21</v>
      </c>
      <c r="L2" s="11" t="s">
        <v>22</v>
      </c>
      <c r="M2" s="11" t="s">
        <v>23</v>
      </c>
      <c r="N2" s="11" t="s">
        <v>24</v>
      </c>
      <c r="P2" s="12" t="s">
        <v>25</v>
      </c>
    </row>
    <row r="3" spans="1:21" s="53" customFormat="1" x14ac:dyDescent="0.3">
      <c r="A3" s="85">
        <f>'Hist - Inside'!A3</f>
        <v>43831</v>
      </c>
      <c r="B3" s="86">
        <v>1098</v>
      </c>
      <c r="C3" s="87"/>
      <c r="D3" s="52">
        <f>$D$44</f>
        <v>10</v>
      </c>
      <c r="E3" s="52">
        <f>ROUND(IF(B3&lt;650,B3*$D$45,650*$D$45),2)</f>
        <v>36.78</v>
      </c>
      <c r="F3" s="52">
        <f>ROUND(IF(B3&lt;651,0,IF(B3&lt;1000,(B3-650)*$D$46,350*$D$46)),2)</f>
        <v>16.989999999999998</v>
      </c>
      <c r="G3" s="52">
        <f>ROUND(IF(B3&lt;1001,0,(B3-1000)*$D$47),2)</f>
        <v>4.67</v>
      </c>
      <c r="I3" s="54">
        <f>ROUND(SUM(D3:G3)*$G$47,2)</f>
        <v>13.98</v>
      </c>
      <c r="J3" s="54">
        <f>ROUND(SUM(D3:G3)*$G$49,2)</f>
        <v>1.29</v>
      </c>
      <c r="K3" s="54">
        <f>ROUND(SUM(D3:G3)*$G$50,2)</f>
        <v>6.47</v>
      </c>
      <c r="L3" s="52">
        <f>ROUND(B3*$G$45,2)</f>
        <v>31.64</v>
      </c>
      <c r="M3" s="54">
        <f>ROUND(SUM(D3:L3)*$G$48,2)</f>
        <v>1.44</v>
      </c>
      <c r="N3" s="54">
        <f>SUM(D3:M3)</f>
        <v>123.26</v>
      </c>
      <c r="P3" s="88">
        <f>L3*$G$48</f>
        <v>0.37351020000000001</v>
      </c>
    </row>
    <row r="4" spans="1:21" s="53" customFormat="1" x14ac:dyDescent="0.3">
      <c r="A4" s="85">
        <f>'Hist - Inside'!A4</f>
        <v>43862</v>
      </c>
      <c r="B4" s="86">
        <v>904</v>
      </c>
      <c r="C4" s="87"/>
      <c r="D4" s="52">
        <f t="shared" ref="D4:D7" si="0">$D$44</f>
        <v>10</v>
      </c>
      <c r="E4" s="52">
        <f t="shared" ref="E4:E7" si="1">ROUND(IF(B4&lt;650,B4*$D$45,650*$D$45),2)</f>
        <v>36.78</v>
      </c>
      <c r="F4" s="52">
        <f t="shared" ref="F4:F7" si="2">ROUND(IF(B4&lt;651,0,IF(B4&lt;1000,(B4-650)*$D$46,350*$D$46)),2)</f>
        <v>12.33</v>
      </c>
      <c r="G4" s="52">
        <f t="shared" ref="G4:G7" si="3">ROUND(IF(B4&lt;1001,0,(B4-1000)*$D$47),2)</f>
        <v>0</v>
      </c>
      <c r="I4" s="54">
        <f t="shared" ref="I4:I7" si="4">ROUND(SUM(D4:G4)*$G$47,2)</f>
        <v>12.07</v>
      </c>
      <c r="J4" s="54">
        <f t="shared" ref="J4:J7" si="5">ROUND(SUM(D4:G4)*$G$49,2)</f>
        <v>1.1200000000000001</v>
      </c>
      <c r="K4" s="54">
        <f t="shared" ref="K4:K7" si="6">ROUND(SUM(D4:G4)*$G$50,2)</f>
        <v>5.59</v>
      </c>
      <c r="L4" s="52">
        <f t="shared" ref="L4:L7" si="7">ROUND(B4*$G$45,2)</f>
        <v>26.05</v>
      </c>
      <c r="M4" s="54">
        <f t="shared" ref="M4:M14" si="8">ROUND(SUM(D4:L4)*$G$48,2)</f>
        <v>1.23</v>
      </c>
      <c r="N4" s="54">
        <f t="shared" ref="N4:N23" si="9">SUM(D4:M4)</f>
        <v>105.17000000000002</v>
      </c>
      <c r="P4" s="88">
        <f t="shared" ref="P4:P7" si="10">L4*$G$48</f>
        <v>0.30752024999999999</v>
      </c>
    </row>
    <row r="5" spans="1:21" s="53" customFormat="1" x14ac:dyDescent="0.3">
      <c r="A5" s="85">
        <f>'Hist - Inside'!A5</f>
        <v>43891</v>
      </c>
      <c r="B5" s="86">
        <v>849</v>
      </c>
      <c r="C5" s="87"/>
      <c r="D5" s="52">
        <f t="shared" si="0"/>
        <v>10</v>
      </c>
      <c r="E5" s="52">
        <f t="shared" si="1"/>
        <v>36.78</v>
      </c>
      <c r="F5" s="52">
        <f t="shared" si="2"/>
        <v>9.66</v>
      </c>
      <c r="G5" s="52">
        <f t="shared" si="3"/>
        <v>0</v>
      </c>
      <c r="I5" s="54">
        <f t="shared" si="4"/>
        <v>11.52</v>
      </c>
      <c r="J5" s="54">
        <f t="shared" si="5"/>
        <v>1.07</v>
      </c>
      <c r="K5" s="54">
        <f t="shared" si="6"/>
        <v>5.34</v>
      </c>
      <c r="L5" s="52">
        <f t="shared" si="7"/>
        <v>24.46</v>
      </c>
      <c r="M5" s="54">
        <f t="shared" si="8"/>
        <v>1.17</v>
      </c>
      <c r="N5" s="54">
        <f t="shared" si="9"/>
        <v>99.999999999999986</v>
      </c>
      <c r="P5" s="88">
        <f t="shared" si="10"/>
        <v>0.28875030000000002</v>
      </c>
    </row>
    <row r="6" spans="1:21" s="53" customFormat="1" x14ac:dyDescent="0.3">
      <c r="A6" s="85">
        <f>'Hist - Inside'!A6</f>
        <v>43922</v>
      </c>
      <c r="B6" s="86">
        <v>744</v>
      </c>
      <c r="C6" s="87"/>
      <c r="D6" s="52">
        <f t="shared" si="0"/>
        <v>10</v>
      </c>
      <c r="E6" s="52">
        <f t="shared" si="1"/>
        <v>36.78</v>
      </c>
      <c r="F6" s="52">
        <f t="shared" si="2"/>
        <v>4.5599999999999996</v>
      </c>
      <c r="G6" s="52">
        <f t="shared" si="3"/>
        <v>0</v>
      </c>
      <c r="I6" s="54">
        <f t="shared" si="4"/>
        <v>10.48</v>
      </c>
      <c r="J6" s="54">
        <f t="shared" si="5"/>
        <v>0.97</v>
      </c>
      <c r="K6" s="54">
        <f t="shared" si="6"/>
        <v>4.8600000000000003</v>
      </c>
      <c r="L6" s="52">
        <f>ROUND(B6*$G$45,2)</f>
        <v>21.44</v>
      </c>
      <c r="M6" s="54">
        <f t="shared" si="8"/>
        <v>1.05</v>
      </c>
      <c r="N6" s="54">
        <f t="shared" si="9"/>
        <v>90.14</v>
      </c>
      <c r="P6" s="88">
        <f t="shared" si="10"/>
        <v>0.25309920000000002</v>
      </c>
    </row>
    <row r="7" spans="1:21" s="53" customFormat="1" x14ac:dyDescent="0.3">
      <c r="A7" s="85">
        <f>'Hist - Inside'!A7</f>
        <v>43952</v>
      </c>
      <c r="B7" s="86">
        <v>911</v>
      </c>
      <c r="C7" s="87"/>
      <c r="D7" s="52">
        <f t="shared" si="0"/>
        <v>10</v>
      </c>
      <c r="E7" s="52">
        <f t="shared" si="1"/>
        <v>36.78</v>
      </c>
      <c r="F7" s="52">
        <f t="shared" si="2"/>
        <v>12.67</v>
      </c>
      <c r="G7" s="52">
        <f t="shared" si="3"/>
        <v>0</v>
      </c>
      <c r="I7" s="54">
        <f t="shared" si="4"/>
        <v>12.14</v>
      </c>
      <c r="J7" s="54">
        <f t="shared" si="5"/>
        <v>1.1200000000000001</v>
      </c>
      <c r="K7" s="54">
        <f t="shared" si="6"/>
        <v>5.62</v>
      </c>
      <c r="L7" s="52">
        <f t="shared" si="7"/>
        <v>26.25</v>
      </c>
      <c r="M7" s="54">
        <f t="shared" si="8"/>
        <v>1.23</v>
      </c>
      <c r="N7" s="54">
        <f t="shared" si="9"/>
        <v>105.81000000000002</v>
      </c>
      <c r="P7" s="88">
        <f t="shared" si="10"/>
        <v>0.30988125</v>
      </c>
    </row>
    <row r="8" spans="1:21" s="53" customFormat="1" x14ac:dyDescent="0.3">
      <c r="A8" s="85">
        <f>'Hist - Inside'!A8</f>
        <v>43983</v>
      </c>
      <c r="B8" s="86">
        <v>1142</v>
      </c>
      <c r="C8" s="87"/>
      <c r="D8" s="52">
        <f>$D$53</f>
        <v>10</v>
      </c>
      <c r="E8" s="52">
        <f>ROUND(IF(B8&lt;650,B8*$D$57,650*$D$57),2)</f>
        <v>36.78</v>
      </c>
      <c r="F8" s="52">
        <f>ROUND(IF(B8&lt;651,0,IF(B8&lt;1000,(B8-650)*$D$58,350*$D$58)),2)</f>
        <v>32.89</v>
      </c>
      <c r="G8" s="52">
        <f>ROUND(IF(B8&lt;1001,0,(B8-1000)*$D$59),2)</f>
        <v>13.81</v>
      </c>
      <c r="I8" s="54">
        <f>ROUND(SUM(D8:G8)*$G$56,2)</f>
        <v>19.09</v>
      </c>
      <c r="J8" s="54">
        <f>ROUND(SUM(D8:G8)*$G$58,2)</f>
        <v>1.76</v>
      </c>
      <c r="K8" s="54">
        <f>ROUND(SUM(D8:G8)*$G$59,2)</f>
        <v>8.84</v>
      </c>
      <c r="L8" s="52">
        <f>ROUND(B8*$G$55,2)</f>
        <v>26.69</v>
      </c>
      <c r="M8" s="54">
        <f t="shared" si="8"/>
        <v>1.77</v>
      </c>
      <c r="N8" s="54">
        <f t="shared" si="9"/>
        <v>151.63000000000002</v>
      </c>
      <c r="P8" s="88">
        <f>L8*$G$57</f>
        <v>0.31507544999999998</v>
      </c>
    </row>
    <row r="9" spans="1:21" s="53" customFormat="1" x14ac:dyDescent="0.3">
      <c r="A9" s="85">
        <f>'Hist - Inside'!A9</f>
        <v>44013</v>
      </c>
      <c r="B9" s="86">
        <v>1355</v>
      </c>
      <c r="C9" s="87"/>
      <c r="D9" s="52">
        <f t="shared" ref="D9:D11" si="11">$D$53</f>
        <v>10</v>
      </c>
      <c r="E9" s="52">
        <f t="shared" ref="E9:E11" si="12">ROUND(IF(B9&lt;650,B9*$D$57,650*$D$57),2)</f>
        <v>36.78</v>
      </c>
      <c r="F9" s="52">
        <f t="shared" ref="F9:F11" si="13">ROUND(IF(B9&lt;651,0,IF(B9&lt;1000,(B9-650)*$D$58,350*$D$58)),2)</f>
        <v>32.89</v>
      </c>
      <c r="G9" s="52">
        <f t="shared" ref="G9:G11" si="14">ROUND(IF(B9&lt;1001,0,(B9-1000)*$D$59),2)</f>
        <v>34.53</v>
      </c>
      <c r="I9" s="54">
        <f t="shared" ref="I9:I11" si="15">ROUND(SUM(D9:G9)*$G$56,2)</f>
        <v>23.32</v>
      </c>
      <c r="J9" s="54">
        <f t="shared" ref="J9:J11" si="16">ROUND(SUM(D9:G9)*$G$58,2)</f>
        <v>2.16</v>
      </c>
      <c r="K9" s="54">
        <f t="shared" ref="K9:K11" si="17">ROUND(SUM(D9:G9)*$G$59,2)</f>
        <v>10.8</v>
      </c>
      <c r="L9" s="52">
        <f t="shared" ref="L9:L11" si="18">ROUND(B9*$G$55,2)</f>
        <v>31.67</v>
      </c>
      <c r="M9" s="54">
        <f t="shared" si="8"/>
        <v>2.15</v>
      </c>
      <c r="N9" s="54">
        <f t="shared" si="9"/>
        <v>184.30000000000004</v>
      </c>
      <c r="P9" s="88">
        <f t="shared" ref="P9:P11" si="19">L9*$G$57</f>
        <v>0.37386435000000001</v>
      </c>
    </row>
    <row r="10" spans="1:21" s="53" customFormat="1" x14ac:dyDescent="0.3">
      <c r="A10" s="85">
        <f>'Hist - Inside'!A10</f>
        <v>44044</v>
      </c>
      <c r="B10" s="86">
        <v>1305</v>
      </c>
      <c r="C10" s="87"/>
      <c r="D10" s="52">
        <f t="shared" si="11"/>
        <v>10</v>
      </c>
      <c r="E10" s="52">
        <f t="shared" si="12"/>
        <v>36.78</v>
      </c>
      <c r="F10" s="52">
        <f t="shared" si="13"/>
        <v>32.89</v>
      </c>
      <c r="G10" s="52">
        <f t="shared" si="14"/>
        <v>29.67</v>
      </c>
      <c r="I10" s="54">
        <f t="shared" si="15"/>
        <v>22.33</v>
      </c>
      <c r="J10" s="54">
        <f t="shared" si="16"/>
        <v>2.06</v>
      </c>
      <c r="K10" s="54">
        <f t="shared" si="17"/>
        <v>10.34</v>
      </c>
      <c r="L10" s="52">
        <f t="shared" si="18"/>
        <v>30.5</v>
      </c>
      <c r="M10" s="54">
        <f t="shared" si="8"/>
        <v>2.06</v>
      </c>
      <c r="N10" s="54">
        <f t="shared" si="9"/>
        <v>176.63000000000002</v>
      </c>
      <c r="P10" s="88">
        <f t="shared" si="19"/>
        <v>0.3600525</v>
      </c>
    </row>
    <row r="11" spans="1:21" s="53" customFormat="1" x14ac:dyDescent="0.3">
      <c r="A11" s="85">
        <f>'Hist - Inside'!A11</f>
        <v>44075</v>
      </c>
      <c r="B11" s="86">
        <v>1002</v>
      </c>
      <c r="C11" s="87"/>
      <c r="D11" s="52">
        <f t="shared" si="11"/>
        <v>10</v>
      </c>
      <c r="E11" s="52">
        <f t="shared" si="12"/>
        <v>36.78</v>
      </c>
      <c r="F11" s="52">
        <f t="shared" si="13"/>
        <v>32.89</v>
      </c>
      <c r="G11" s="52">
        <f t="shared" si="14"/>
        <v>0.19</v>
      </c>
      <c r="I11" s="54">
        <f t="shared" si="15"/>
        <v>16.309999999999999</v>
      </c>
      <c r="J11" s="54">
        <f t="shared" si="16"/>
        <v>1.51</v>
      </c>
      <c r="K11" s="54">
        <f t="shared" si="17"/>
        <v>7.55</v>
      </c>
      <c r="L11" s="52">
        <f t="shared" si="18"/>
        <v>23.42</v>
      </c>
      <c r="M11" s="54">
        <f t="shared" si="8"/>
        <v>1.52</v>
      </c>
      <c r="N11" s="54">
        <f t="shared" si="9"/>
        <v>130.17000000000002</v>
      </c>
      <c r="P11" s="88">
        <f t="shared" si="19"/>
        <v>0.27647310000000003</v>
      </c>
    </row>
    <row r="12" spans="1:21" s="53" customFormat="1" x14ac:dyDescent="0.3">
      <c r="A12" s="85">
        <f>'Hist - Inside'!A12</f>
        <v>44105</v>
      </c>
      <c r="B12" s="86">
        <v>824</v>
      </c>
      <c r="C12" s="87"/>
      <c r="D12" s="52">
        <f>$D$62</f>
        <v>10</v>
      </c>
      <c r="E12" s="52">
        <f>ROUND(IF(B12&lt;650,B12*$D$63,650*$D$63),2)</f>
        <v>36.78</v>
      </c>
      <c r="F12" s="52">
        <f>ROUND(IF(B12&lt;651,0,IF(B12&lt;1000,(B12-650)*$D$64,350*$D$64)),2)</f>
        <v>8.44</v>
      </c>
      <c r="G12" s="52">
        <f>ROUND(IF(B12&lt;1001,0,(B12-1000)*$D$65),2)</f>
        <v>0</v>
      </c>
      <c r="I12" s="54">
        <f>ROUND(SUM(D12:G12)*$G$65,2)</f>
        <v>11.28</v>
      </c>
      <c r="J12" s="54">
        <f>ROUND(SUM(D12:G12)*$G$67,2)</f>
        <v>1.04</v>
      </c>
      <c r="K12" s="54">
        <f>ROUND(SUM(D12:G12)*$G$68,2)</f>
        <v>5.22</v>
      </c>
      <c r="L12" s="52">
        <f>ROUND(B12*$G$63,2)</f>
        <v>20.23</v>
      </c>
      <c r="M12" s="54">
        <f t="shared" si="8"/>
        <v>1.1000000000000001</v>
      </c>
      <c r="N12" s="54">
        <f>SUM(D12:M12)</f>
        <v>94.09</v>
      </c>
      <c r="P12" s="88">
        <f>L12*$G$66</f>
        <v>0.23881515</v>
      </c>
    </row>
    <row r="13" spans="1:21" s="53" customFormat="1" x14ac:dyDescent="0.3">
      <c r="A13" s="85">
        <f>'Hist - Inside'!A13</f>
        <v>44136</v>
      </c>
      <c r="B13" s="86">
        <v>812</v>
      </c>
      <c r="C13" s="87"/>
      <c r="D13" s="52">
        <f t="shared" ref="D13:D14" si="20">$D$62</f>
        <v>10</v>
      </c>
      <c r="E13" s="52">
        <f t="shared" ref="E13:E14" si="21">ROUND(IF(B13&lt;650,B13*$D$63,650*$D$63),2)</f>
        <v>36.78</v>
      </c>
      <c r="F13" s="52">
        <f t="shared" ref="F13:F14" si="22">ROUND(IF(B13&lt;651,0,IF(B13&lt;1000,(B13-650)*$D$64,350*$D$64)),2)</f>
        <v>7.86</v>
      </c>
      <c r="G13" s="52">
        <f t="shared" ref="G13:G14" si="23">ROUND(IF(B13&lt;1001,0,(B13-1000)*$D$65),2)</f>
        <v>0</v>
      </c>
      <c r="I13" s="54">
        <f t="shared" ref="I13:I14" si="24">ROUND(SUM(D13:G13)*$G$65,2)</f>
        <v>11.16</v>
      </c>
      <c r="J13" s="54">
        <f t="shared" ref="J13:J14" si="25">ROUND(SUM(D13:G13)*$G$67,2)</f>
        <v>1.03</v>
      </c>
      <c r="K13" s="54">
        <f t="shared" ref="K13:K14" si="26">ROUND(SUM(D13:G13)*$G$68,2)</f>
        <v>5.17</v>
      </c>
      <c r="L13" s="52">
        <f t="shared" ref="L13:L14" si="27">ROUND(B13*$G$63,2)</f>
        <v>19.940000000000001</v>
      </c>
      <c r="M13" s="54">
        <f t="shared" si="8"/>
        <v>1.0900000000000001</v>
      </c>
      <c r="N13" s="54">
        <f t="shared" si="9"/>
        <v>93.03</v>
      </c>
      <c r="P13" s="88">
        <f t="shared" ref="P13:P14" si="28">L13*$G$66</f>
        <v>0.23539170000000001</v>
      </c>
      <c r="U13" s="89"/>
    </row>
    <row r="14" spans="1:21" s="53" customFormat="1" x14ac:dyDescent="0.3">
      <c r="A14" s="85">
        <f>'Hist - Inside'!A14</f>
        <v>44166</v>
      </c>
      <c r="B14" s="86">
        <v>1054</v>
      </c>
      <c r="C14" s="87"/>
      <c r="D14" s="52">
        <f t="shared" si="20"/>
        <v>10</v>
      </c>
      <c r="E14" s="52">
        <f t="shared" si="21"/>
        <v>36.78</v>
      </c>
      <c r="F14" s="52">
        <f t="shared" si="22"/>
        <v>16.989999999999998</v>
      </c>
      <c r="G14" s="52">
        <f t="shared" si="23"/>
        <v>2.57</v>
      </c>
      <c r="I14" s="54">
        <f t="shared" si="24"/>
        <v>13.55</v>
      </c>
      <c r="J14" s="54">
        <f t="shared" si="25"/>
        <v>1.25</v>
      </c>
      <c r="K14" s="54">
        <f t="shared" si="26"/>
        <v>6.28</v>
      </c>
      <c r="L14" s="52">
        <f t="shared" si="27"/>
        <v>25.88</v>
      </c>
      <c r="M14" s="54">
        <f t="shared" si="8"/>
        <v>1.34</v>
      </c>
      <c r="N14" s="54">
        <f t="shared" si="9"/>
        <v>114.63999999999999</v>
      </c>
      <c r="P14" s="88">
        <f t="shared" si="28"/>
        <v>0.30551339999999999</v>
      </c>
      <c r="U14" s="89"/>
    </row>
    <row r="15" spans="1:21" s="53" customFormat="1" x14ac:dyDescent="0.3">
      <c r="A15" s="85">
        <f>'Hist - Inside'!A15</f>
        <v>44197</v>
      </c>
      <c r="B15" s="86">
        <v>1098</v>
      </c>
      <c r="C15" s="87"/>
      <c r="D15" s="52">
        <f>$D$71</f>
        <v>12</v>
      </c>
      <c r="E15" s="52">
        <f>ROUND(IF(B15&lt;650,B15*$D$72,650*$D$72),2)</f>
        <v>36.97</v>
      </c>
      <c r="F15" s="52">
        <f>ROUND(IF(B15&lt;651,0,IF(B15&lt;1000,(B15-650)*$D$73,350*$D$73)),2)</f>
        <v>17.07</v>
      </c>
      <c r="G15" s="52">
        <f>ROUND(IF(B15&lt;1001,0,(B15-1000)*$D$74),2)</f>
        <v>4.6900000000000004</v>
      </c>
      <c r="I15" s="54">
        <f>ROUND(SUM(D15:G15)*$G$74,2)</f>
        <v>14.02</v>
      </c>
      <c r="J15" s="54">
        <f>ROUND(SUM(D15:G15)*$G$76,2)</f>
        <v>1.23</v>
      </c>
      <c r="K15" s="54">
        <f>ROUND(SUM(D15:G15)*$G$77,2)</f>
        <v>4.13</v>
      </c>
      <c r="L15" s="52">
        <f>ROUND(B15*$G$72,2)</f>
        <v>26.96</v>
      </c>
      <c r="M15" s="54">
        <f>ROUND(SUM(D15:L15)*$G$75,2)</f>
        <v>1.39</v>
      </c>
      <c r="N15" s="54">
        <f t="shared" si="9"/>
        <v>118.46</v>
      </c>
      <c r="P15" s="88">
        <f>L15*$G$75</f>
        <v>0.31993432000000005</v>
      </c>
      <c r="U15" s="89"/>
    </row>
    <row r="16" spans="1:21" s="53" customFormat="1" x14ac:dyDescent="0.3">
      <c r="A16" s="85">
        <f>'Hist - Inside'!A16</f>
        <v>44228</v>
      </c>
      <c r="B16" s="86">
        <v>904</v>
      </c>
      <c r="C16" s="87"/>
      <c r="D16" s="52">
        <f t="shared" ref="D16:D26" si="29">$D$71</f>
        <v>12</v>
      </c>
      <c r="E16" s="52">
        <f t="shared" ref="E16:E26" si="30">ROUND(IF(B16&lt;650,B16*$D$72,650*$D$72),2)</f>
        <v>36.97</v>
      </c>
      <c r="F16" s="52">
        <f t="shared" ref="F16:F26" si="31">ROUND(IF(B16&lt;651,0,IF(B16&lt;1000,(B16-650)*$D$73,350*$D$73)),2)</f>
        <v>12.39</v>
      </c>
      <c r="G16" s="52">
        <f t="shared" ref="G16:G26" si="32">ROUND(IF(B16&lt;1001,0,(B16-1000)*$D$74),2)</f>
        <v>0</v>
      </c>
      <c r="I16" s="54">
        <f t="shared" ref="I16:I26" si="33">ROUND(SUM(D16:G16)*$G$74,2)</f>
        <v>12.17</v>
      </c>
      <c r="J16" s="54">
        <f t="shared" ref="J16:J26" si="34">ROUND(SUM(D16:G16)*$G$76,2)</f>
        <v>1.07</v>
      </c>
      <c r="K16" s="54">
        <f t="shared" ref="K16:K26" si="35">ROUND(SUM(D16:G16)*$G$77,2)</f>
        <v>3.59</v>
      </c>
      <c r="L16" s="52">
        <f t="shared" ref="L16:L26" si="36">ROUND(B16*$G$72,2)</f>
        <v>22.2</v>
      </c>
      <c r="M16" s="54">
        <f t="shared" ref="M16:M26" si="37">ROUND(SUM(D16:L16)*$G$75,2)</f>
        <v>1.19</v>
      </c>
      <c r="N16" s="54">
        <f t="shared" si="9"/>
        <v>101.58</v>
      </c>
      <c r="P16" s="88">
        <f t="shared" ref="P16:P26" si="38">L16*$G$75</f>
        <v>0.2634474</v>
      </c>
      <c r="U16" s="89"/>
    </row>
    <row r="17" spans="1:21" s="53" customFormat="1" x14ac:dyDescent="0.3">
      <c r="A17" s="85">
        <f>'Hist - Inside'!A17</f>
        <v>44256</v>
      </c>
      <c r="B17" s="86">
        <v>849</v>
      </c>
      <c r="C17" s="87"/>
      <c r="D17" s="52">
        <f t="shared" si="29"/>
        <v>12</v>
      </c>
      <c r="E17" s="52">
        <f t="shared" si="30"/>
        <v>36.97</v>
      </c>
      <c r="F17" s="52">
        <f t="shared" si="31"/>
        <v>9.7100000000000009</v>
      </c>
      <c r="G17" s="52">
        <f t="shared" si="32"/>
        <v>0</v>
      </c>
      <c r="I17" s="54">
        <f t="shared" si="33"/>
        <v>11.63</v>
      </c>
      <c r="J17" s="54">
        <f t="shared" si="34"/>
        <v>1.02</v>
      </c>
      <c r="K17" s="54">
        <f t="shared" si="35"/>
        <v>3.43</v>
      </c>
      <c r="L17" s="52">
        <f t="shared" si="36"/>
        <v>20.85</v>
      </c>
      <c r="M17" s="54">
        <f t="shared" si="37"/>
        <v>1.1299999999999999</v>
      </c>
      <c r="N17" s="54">
        <f t="shared" si="9"/>
        <v>96.740000000000009</v>
      </c>
      <c r="P17" s="88">
        <f t="shared" si="38"/>
        <v>0.24742695000000003</v>
      </c>
      <c r="U17" s="89"/>
    </row>
    <row r="18" spans="1:21" s="53" customFormat="1" x14ac:dyDescent="0.3">
      <c r="A18" s="85">
        <f>'Hist - Inside'!A18</f>
        <v>44287</v>
      </c>
      <c r="B18" s="86">
        <v>744</v>
      </c>
      <c r="C18" s="87"/>
      <c r="D18" s="52">
        <f t="shared" si="29"/>
        <v>12</v>
      </c>
      <c r="E18" s="52">
        <f t="shared" si="30"/>
        <v>36.97</v>
      </c>
      <c r="F18" s="52">
        <f t="shared" si="31"/>
        <v>4.59</v>
      </c>
      <c r="G18" s="52">
        <f t="shared" si="32"/>
        <v>0</v>
      </c>
      <c r="I18" s="54">
        <f t="shared" si="33"/>
        <v>10.62</v>
      </c>
      <c r="J18" s="54">
        <f t="shared" si="34"/>
        <v>0.93</v>
      </c>
      <c r="K18" s="54">
        <f t="shared" si="35"/>
        <v>3.13</v>
      </c>
      <c r="L18" s="52">
        <f t="shared" si="36"/>
        <v>18.27</v>
      </c>
      <c r="M18" s="54">
        <f t="shared" si="37"/>
        <v>1.03</v>
      </c>
      <c r="N18" s="54">
        <f t="shared" si="9"/>
        <v>87.54</v>
      </c>
      <c r="P18" s="88">
        <f t="shared" si="38"/>
        <v>0.21681009000000001</v>
      </c>
      <c r="U18" s="89"/>
    </row>
    <row r="19" spans="1:21" s="53" customFormat="1" x14ac:dyDescent="0.3">
      <c r="A19" s="85">
        <f>'Hist - Inside'!A19</f>
        <v>44317</v>
      </c>
      <c r="B19" s="86">
        <v>911</v>
      </c>
      <c r="C19" s="87"/>
      <c r="D19" s="52">
        <f t="shared" si="29"/>
        <v>12</v>
      </c>
      <c r="E19" s="52">
        <f t="shared" si="30"/>
        <v>36.97</v>
      </c>
      <c r="F19" s="52">
        <f t="shared" si="31"/>
        <v>12.73</v>
      </c>
      <c r="G19" s="52">
        <f t="shared" si="32"/>
        <v>0</v>
      </c>
      <c r="I19" s="54">
        <f t="shared" si="33"/>
        <v>12.23</v>
      </c>
      <c r="J19" s="54">
        <f t="shared" si="34"/>
        <v>1.08</v>
      </c>
      <c r="K19" s="54">
        <f t="shared" si="35"/>
        <v>3.61</v>
      </c>
      <c r="L19" s="52">
        <f t="shared" si="36"/>
        <v>22.37</v>
      </c>
      <c r="M19" s="54">
        <f t="shared" si="37"/>
        <v>1.2</v>
      </c>
      <c r="N19" s="54">
        <f t="shared" si="9"/>
        <v>102.19000000000001</v>
      </c>
      <c r="P19" s="88">
        <f t="shared" si="38"/>
        <v>0.26546479000000001</v>
      </c>
      <c r="U19" s="89"/>
    </row>
    <row r="20" spans="1:21" s="53" customFormat="1" x14ac:dyDescent="0.3">
      <c r="A20" s="85">
        <f>'Hist - Inside'!A20</f>
        <v>44348</v>
      </c>
      <c r="B20" s="86">
        <v>1142</v>
      </c>
      <c r="C20" s="90"/>
      <c r="D20" s="52">
        <f t="shared" si="29"/>
        <v>12</v>
      </c>
      <c r="E20" s="52">
        <f>ROUND(IF(B20&lt;650,B20*$D$75,650*$D$75),2)</f>
        <v>36.97</v>
      </c>
      <c r="F20" s="52">
        <f>ROUND(IF(B20&lt;651,0,IF(B20&lt;1000,(B20-650)*$D$76,350*$D$76)),2)</f>
        <v>33.06</v>
      </c>
      <c r="G20" s="52">
        <f>ROUND(IF(B20&lt;1001,0,(B20-1000)*$D$77),2)</f>
        <v>13.88</v>
      </c>
      <c r="I20" s="54">
        <f t="shared" si="33"/>
        <v>19.02</v>
      </c>
      <c r="J20" s="54">
        <f t="shared" si="34"/>
        <v>1.67</v>
      </c>
      <c r="K20" s="54">
        <f t="shared" si="35"/>
        <v>5.61</v>
      </c>
      <c r="L20" s="52">
        <f>ROUND(B20*$G$73,2)</f>
        <v>28.67</v>
      </c>
      <c r="M20" s="54">
        <f t="shared" si="37"/>
        <v>1.79</v>
      </c>
      <c r="N20" s="54">
        <f t="shared" si="9"/>
        <v>152.66999999999999</v>
      </c>
      <c r="P20" s="88">
        <f t="shared" si="38"/>
        <v>0.34022689000000006</v>
      </c>
    </row>
    <row r="21" spans="1:21" s="53" customFormat="1" x14ac:dyDescent="0.3">
      <c r="A21" s="85">
        <f>'Hist - Inside'!A21</f>
        <v>44378</v>
      </c>
      <c r="B21" s="86">
        <v>1355</v>
      </c>
      <c r="D21" s="52">
        <f t="shared" si="29"/>
        <v>12</v>
      </c>
      <c r="E21" s="52">
        <f t="shared" ref="E21:E23" si="39">ROUND(IF(B21&lt;650,B21*$D$75,650*$D$75),2)</f>
        <v>36.97</v>
      </c>
      <c r="F21" s="52">
        <f t="shared" ref="F21:F23" si="40">ROUND(IF(B21&lt;651,0,IF(B21&lt;1000,(B21-650)*$D$76,350*$D$76)),2)</f>
        <v>33.06</v>
      </c>
      <c r="G21" s="52">
        <f t="shared" ref="G21:G23" si="41">ROUND(IF(B21&lt;1001,0,(B21-1000)*$D$77),2)</f>
        <v>34.71</v>
      </c>
      <c r="I21" s="54">
        <f t="shared" si="33"/>
        <v>23.15</v>
      </c>
      <c r="J21" s="54">
        <f t="shared" si="34"/>
        <v>2.04</v>
      </c>
      <c r="K21" s="54">
        <f t="shared" si="35"/>
        <v>6.82</v>
      </c>
      <c r="L21" s="52">
        <f t="shared" ref="L21:L23" si="42">ROUND(B21*$G$73,2)</f>
        <v>34.020000000000003</v>
      </c>
      <c r="M21" s="54">
        <f t="shared" si="37"/>
        <v>2.17</v>
      </c>
      <c r="N21" s="54">
        <f t="shared" si="9"/>
        <v>184.94</v>
      </c>
      <c r="P21" s="88">
        <f t="shared" si="38"/>
        <v>0.40371534000000009</v>
      </c>
    </row>
    <row r="22" spans="1:21" s="53" customFormat="1" x14ac:dyDescent="0.3">
      <c r="A22" s="85">
        <f>'Hist - Inside'!A22</f>
        <v>44409</v>
      </c>
      <c r="B22" s="86">
        <v>1305</v>
      </c>
      <c r="D22" s="52">
        <f t="shared" si="29"/>
        <v>12</v>
      </c>
      <c r="E22" s="52">
        <f t="shared" si="39"/>
        <v>36.97</v>
      </c>
      <c r="F22" s="52">
        <f t="shared" si="40"/>
        <v>33.06</v>
      </c>
      <c r="G22" s="52">
        <f t="shared" si="41"/>
        <v>29.82</v>
      </c>
      <c r="I22" s="54">
        <f t="shared" si="33"/>
        <v>22.18</v>
      </c>
      <c r="J22" s="54">
        <f t="shared" si="34"/>
        <v>1.95</v>
      </c>
      <c r="K22" s="54">
        <f t="shared" si="35"/>
        <v>6.54</v>
      </c>
      <c r="L22" s="52">
        <f t="shared" si="42"/>
        <v>32.76</v>
      </c>
      <c r="M22" s="54">
        <f t="shared" si="37"/>
        <v>2.08</v>
      </c>
      <c r="N22" s="54">
        <f t="shared" si="9"/>
        <v>177.35999999999999</v>
      </c>
      <c r="P22" s="88">
        <f t="shared" si="38"/>
        <v>0.38876292000000001</v>
      </c>
    </row>
    <row r="23" spans="1:21" s="53" customFormat="1" x14ac:dyDescent="0.3">
      <c r="A23" s="85">
        <f>'Hist - Inside'!A23</f>
        <v>44440</v>
      </c>
      <c r="B23" s="86">
        <v>1002</v>
      </c>
      <c r="D23" s="52">
        <f t="shared" si="29"/>
        <v>12</v>
      </c>
      <c r="E23" s="52">
        <f t="shared" si="39"/>
        <v>36.97</v>
      </c>
      <c r="F23" s="52">
        <f t="shared" si="40"/>
        <v>33.06</v>
      </c>
      <c r="G23" s="52">
        <f t="shared" si="41"/>
        <v>0.2</v>
      </c>
      <c r="I23" s="54">
        <f t="shared" si="33"/>
        <v>16.3</v>
      </c>
      <c r="J23" s="54">
        <f t="shared" si="34"/>
        <v>1.43</v>
      </c>
      <c r="K23" s="54">
        <f t="shared" si="35"/>
        <v>4.8099999999999996</v>
      </c>
      <c r="L23" s="52">
        <f t="shared" si="42"/>
        <v>25.15</v>
      </c>
      <c r="M23" s="54">
        <f t="shared" si="37"/>
        <v>1.54</v>
      </c>
      <c r="N23" s="54">
        <f t="shared" si="9"/>
        <v>131.46</v>
      </c>
      <c r="P23" s="88">
        <f t="shared" si="38"/>
        <v>0.29845505</v>
      </c>
    </row>
    <row r="24" spans="1:21" s="53" customFormat="1" x14ac:dyDescent="0.3">
      <c r="A24" s="85">
        <f>'Hist - Inside'!A24</f>
        <v>44470</v>
      </c>
      <c r="B24" s="86">
        <v>824</v>
      </c>
      <c r="D24" s="52">
        <f t="shared" si="29"/>
        <v>12</v>
      </c>
      <c r="E24" s="52">
        <f t="shared" si="30"/>
        <v>36.97</v>
      </c>
      <c r="F24" s="52">
        <f t="shared" si="31"/>
        <v>8.49</v>
      </c>
      <c r="G24" s="52">
        <f t="shared" si="32"/>
        <v>0</v>
      </c>
      <c r="I24" s="54">
        <f t="shared" si="33"/>
        <v>11.39</v>
      </c>
      <c r="J24" s="54">
        <f t="shared" si="34"/>
        <v>1</v>
      </c>
      <c r="K24" s="54">
        <f t="shared" si="35"/>
        <v>3.36</v>
      </c>
      <c r="L24" s="52">
        <f t="shared" si="36"/>
        <v>20.23</v>
      </c>
      <c r="M24" s="54">
        <f t="shared" si="37"/>
        <v>1.1100000000000001</v>
      </c>
      <c r="N24" s="54">
        <f>SUM(D24:M24)</f>
        <v>94.55</v>
      </c>
      <c r="P24" s="88">
        <f t="shared" si="38"/>
        <v>0.24006941000000001</v>
      </c>
    </row>
    <row r="25" spans="1:21" s="53" customFormat="1" x14ac:dyDescent="0.3">
      <c r="A25" s="85">
        <f>'Hist - Inside'!A25</f>
        <v>44501</v>
      </c>
      <c r="B25" s="53">
        <v>812</v>
      </c>
      <c r="D25" s="52">
        <f t="shared" si="29"/>
        <v>12</v>
      </c>
      <c r="E25" s="52">
        <f t="shared" si="30"/>
        <v>36.97</v>
      </c>
      <c r="F25" s="52">
        <f t="shared" si="31"/>
        <v>7.9</v>
      </c>
      <c r="G25" s="52">
        <f t="shared" si="32"/>
        <v>0</v>
      </c>
      <c r="I25" s="54">
        <f t="shared" si="33"/>
        <v>11.28</v>
      </c>
      <c r="J25" s="54">
        <f t="shared" si="34"/>
        <v>0.99</v>
      </c>
      <c r="K25" s="54">
        <f t="shared" si="35"/>
        <v>3.32</v>
      </c>
      <c r="L25" s="52">
        <f t="shared" si="36"/>
        <v>19.940000000000001</v>
      </c>
      <c r="M25" s="54">
        <f t="shared" si="37"/>
        <v>1.1000000000000001</v>
      </c>
      <c r="N25" s="54">
        <f t="shared" ref="N25:N35" si="43">SUM(D25:M25)</f>
        <v>93.499999999999972</v>
      </c>
      <c r="P25" s="88">
        <f t="shared" si="38"/>
        <v>0.23662798000000004</v>
      </c>
    </row>
    <row r="26" spans="1:21" s="53" customFormat="1" x14ac:dyDescent="0.3">
      <c r="A26" s="85">
        <f>'Hist - Inside'!A26</f>
        <v>44531</v>
      </c>
      <c r="B26" s="53">
        <v>1054</v>
      </c>
      <c r="D26" s="52">
        <f t="shared" si="29"/>
        <v>12</v>
      </c>
      <c r="E26" s="52">
        <f t="shared" si="30"/>
        <v>36.97</v>
      </c>
      <c r="F26" s="52">
        <f t="shared" si="31"/>
        <v>17.07</v>
      </c>
      <c r="G26" s="52">
        <f t="shared" si="32"/>
        <v>2.59</v>
      </c>
      <c r="I26" s="54">
        <f t="shared" si="33"/>
        <v>13.61</v>
      </c>
      <c r="J26" s="54">
        <f t="shared" si="34"/>
        <v>1.2</v>
      </c>
      <c r="K26" s="54">
        <f t="shared" si="35"/>
        <v>4.01</v>
      </c>
      <c r="L26" s="52">
        <f t="shared" si="36"/>
        <v>25.88</v>
      </c>
      <c r="M26" s="54">
        <f t="shared" si="37"/>
        <v>1.34</v>
      </c>
      <c r="N26" s="54">
        <f t="shared" si="43"/>
        <v>114.67</v>
      </c>
      <c r="P26" s="88">
        <f t="shared" si="38"/>
        <v>0.30711796000000002</v>
      </c>
    </row>
    <row r="27" spans="1:21" s="53" customFormat="1" x14ac:dyDescent="0.3">
      <c r="A27" s="85">
        <f>'Hist - Inside'!A27</f>
        <v>44562</v>
      </c>
      <c r="B27" s="53">
        <v>1098</v>
      </c>
      <c r="D27" s="52">
        <f>$D$80</f>
        <v>14</v>
      </c>
      <c r="E27" s="52">
        <f>ROUND(IF(B27&lt;650,B27*$D$81,650*$D$81),2)</f>
        <v>37.94</v>
      </c>
      <c r="F27" s="52">
        <f>ROUND(IF(B27&lt;651,0,IF(B27&lt;1000,(B27-650)*$D$82,350*$D$82)),2)</f>
        <v>17.52</v>
      </c>
      <c r="G27" s="52">
        <f>ROUND(IF(B27&lt;1001,0,(B27-1000)*$D$83),2)</f>
        <v>4.82</v>
      </c>
      <c r="I27" s="54">
        <f>ROUND(SUM(D27:G27)*$G$83,2)</f>
        <v>13.76</v>
      </c>
      <c r="J27" s="54">
        <f>ROUND(SUM(D27:G27)*$G$85,2)</f>
        <v>0.75</v>
      </c>
      <c r="K27" s="54">
        <f>ROUND(SUM(D27:G27)*$G$86,2)</f>
        <v>2.83</v>
      </c>
      <c r="L27" s="52">
        <f>ROUND(B27*$G$81,2)</f>
        <v>31.01</v>
      </c>
      <c r="M27" s="54">
        <f>ROUND(SUM(D27:L27)*$G$84,2)</f>
        <v>1.45</v>
      </c>
      <c r="N27" s="54">
        <f t="shared" si="43"/>
        <v>124.08000000000001</v>
      </c>
      <c r="P27" s="88">
        <f>L27*$G$84</f>
        <v>0.36542184</v>
      </c>
    </row>
    <row r="28" spans="1:21" s="53" customFormat="1" x14ac:dyDescent="0.3">
      <c r="A28" s="85">
        <f>'Hist - Inside'!A28</f>
        <v>44593</v>
      </c>
      <c r="B28" s="53">
        <v>904</v>
      </c>
      <c r="D28" s="52">
        <f t="shared" ref="D28:D38" si="44">$D$80</f>
        <v>14</v>
      </c>
      <c r="E28" s="52">
        <f t="shared" ref="E28:E38" si="45">ROUND(IF(B28&lt;650,B28*$D$81,650*$D$81),2)</f>
        <v>37.94</v>
      </c>
      <c r="F28" s="52">
        <f t="shared" ref="F28:F38" si="46">ROUND(IF(B28&lt;651,0,IF(B28&lt;1000,(B28-650)*$D$82,350*$D$82)),2)</f>
        <v>12.72</v>
      </c>
      <c r="G28" s="52">
        <f t="shared" ref="G28:G38" si="47">ROUND(IF(B28&lt;1001,0,(B28-1000)*$D$83),2)</f>
        <v>0</v>
      </c>
      <c r="I28" s="54">
        <f t="shared" ref="I28:I38" si="48">ROUND(SUM(D28:G28)*$G$83,2)</f>
        <v>11.97</v>
      </c>
      <c r="J28" s="54">
        <f t="shared" ref="J28:J38" si="49">ROUND(SUM(D28:G28)*$G$85,2)</f>
        <v>0.65</v>
      </c>
      <c r="K28" s="54">
        <f t="shared" ref="K28:K38" si="50">ROUND(SUM(D28:G28)*$G$86,2)</f>
        <v>2.4700000000000002</v>
      </c>
      <c r="L28" s="52">
        <f t="shared" ref="L28:L38" si="51">ROUND(B28*$G$81,2)</f>
        <v>25.53</v>
      </c>
      <c r="M28" s="54">
        <f t="shared" ref="M28:M38" si="52">ROUND(SUM(D28:L28)*$G$84,2)</f>
        <v>1.24</v>
      </c>
      <c r="N28" s="54">
        <f t="shared" si="43"/>
        <v>106.52</v>
      </c>
      <c r="P28" s="88">
        <f t="shared" ref="P28:P38" si="53">L28*$G$84</f>
        <v>0.30084551999999998</v>
      </c>
    </row>
    <row r="29" spans="1:21" s="53" customFormat="1" x14ac:dyDescent="0.3">
      <c r="A29" s="85">
        <f>'Hist - Inside'!A29</f>
        <v>44621</v>
      </c>
      <c r="B29" s="53">
        <v>849</v>
      </c>
      <c r="D29" s="52">
        <f t="shared" si="44"/>
        <v>14</v>
      </c>
      <c r="E29" s="52">
        <f t="shared" si="45"/>
        <v>37.94</v>
      </c>
      <c r="F29" s="52">
        <f t="shared" si="46"/>
        <v>9.9600000000000009</v>
      </c>
      <c r="G29" s="52">
        <f t="shared" si="47"/>
        <v>0</v>
      </c>
      <c r="I29" s="54">
        <f t="shared" si="48"/>
        <v>11.46</v>
      </c>
      <c r="J29" s="54">
        <f t="shared" si="49"/>
        <v>0.62</v>
      </c>
      <c r="K29" s="54">
        <f t="shared" si="50"/>
        <v>2.36</v>
      </c>
      <c r="L29" s="52">
        <f t="shared" si="51"/>
        <v>23.98</v>
      </c>
      <c r="M29" s="54">
        <f t="shared" si="52"/>
        <v>1.18</v>
      </c>
      <c r="N29" s="54">
        <f t="shared" si="43"/>
        <v>101.50000000000001</v>
      </c>
      <c r="P29" s="88">
        <f t="shared" si="53"/>
        <v>0.28258032</v>
      </c>
    </row>
    <row r="30" spans="1:21" s="53" customFormat="1" x14ac:dyDescent="0.3">
      <c r="A30" s="85">
        <f>'Hist - Inside'!A30</f>
        <v>44652</v>
      </c>
      <c r="B30" s="53">
        <v>744</v>
      </c>
      <c r="D30" s="52">
        <f t="shared" si="44"/>
        <v>14</v>
      </c>
      <c r="E30" s="52">
        <f t="shared" si="45"/>
        <v>37.94</v>
      </c>
      <c r="F30" s="52">
        <f t="shared" si="46"/>
        <v>4.71</v>
      </c>
      <c r="G30" s="52">
        <f t="shared" si="47"/>
        <v>0</v>
      </c>
      <c r="I30" s="54">
        <f t="shared" si="48"/>
        <v>10.49</v>
      </c>
      <c r="J30" s="54">
        <f t="shared" si="49"/>
        <v>0.56999999999999995</v>
      </c>
      <c r="K30" s="54">
        <f t="shared" si="50"/>
        <v>2.16</v>
      </c>
      <c r="L30" s="52">
        <f t="shared" si="51"/>
        <v>21.01</v>
      </c>
      <c r="M30" s="54">
        <f t="shared" si="52"/>
        <v>1.07</v>
      </c>
      <c r="N30" s="54">
        <f t="shared" si="43"/>
        <v>91.949999999999989</v>
      </c>
      <c r="P30" s="88">
        <f t="shared" si="53"/>
        <v>0.24758184</v>
      </c>
    </row>
    <row r="31" spans="1:21" s="53" customFormat="1" x14ac:dyDescent="0.3">
      <c r="A31" s="85">
        <f>'Hist - Inside'!A31</f>
        <v>44682</v>
      </c>
      <c r="B31" s="53">
        <v>911</v>
      </c>
      <c r="D31" s="52">
        <f t="shared" si="44"/>
        <v>14</v>
      </c>
      <c r="E31" s="52">
        <f t="shared" si="45"/>
        <v>37.94</v>
      </c>
      <c r="F31" s="52">
        <f t="shared" si="46"/>
        <v>13.07</v>
      </c>
      <c r="G31" s="52">
        <f t="shared" si="47"/>
        <v>0</v>
      </c>
      <c r="I31" s="54">
        <f t="shared" si="48"/>
        <v>12.04</v>
      </c>
      <c r="J31" s="54">
        <f t="shared" si="49"/>
        <v>0.65</v>
      </c>
      <c r="K31" s="54">
        <f t="shared" si="50"/>
        <v>2.48</v>
      </c>
      <c r="L31" s="52">
        <f t="shared" si="51"/>
        <v>25.73</v>
      </c>
      <c r="M31" s="54">
        <f t="shared" si="52"/>
        <v>1.25</v>
      </c>
      <c r="N31" s="54">
        <f t="shared" si="43"/>
        <v>107.16</v>
      </c>
      <c r="P31" s="88">
        <f t="shared" si="53"/>
        <v>0.30320231999999997</v>
      </c>
    </row>
    <row r="32" spans="1:21" s="53" customFormat="1" x14ac:dyDescent="0.3">
      <c r="A32" s="85">
        <f>'Hist - Inside'!A32</f>
        <v>44713</v>
      </c>
      <c r="B32" s="53">
        <v>1142</v>
      </c>
      <c r="D32" s="52">
        <f t="shared" si="44"/>
        <v>14</v>
      </c>
      <c r="E32" s="52">
        <f>ROUND(IF(B32&lt;650,B32*$D$84,650*$D$84),2)</f>
        <v>37.94</v>
      </c>
      <c r="F32" s="52">
        <f>ROUND(IF(B32&lt;651,0,IF(B32&lt;1000,(B32-650)*$D$85,350*$D$85)),2)</f>
        <v>33.93</v>
      </c>
      <c r="G32" s="52">
        <f>ROUND(IF(B32&lt;1001,0,(B32-1000)*$D$86),2)</f>
        <v>14.25</v>
      </c>
      <c r="I32" s="54">
        <f>ROUND(SUM(D32:G32)*$G$83,2)</f>
        <v>18.54</v>
      </c>
      <c r="J32" s="54">
        <f t="shared" si="49"/>
        <v>1.01</v>
      </c>
      <c r="K32" s="54">
        <f t="shared" si="50"/>
        <v>3.82</v>
      </c>
      <c r="L32" s="52">
        <f>ROUND(B32*$G$82,2)</f>
        <v>32.97</v>
      </c>
      <c r="M32" s="54">
        <f t="shared" si="52"/>
        <v>1.84</v>
      </c>
      <c r="N32" s="54">
        <f t="shared" si="43"/>
        <v>158.29999999999998</v>
      </c>
      <c r="P32" s="88">
        <f t="shared" si="53"/>
        <v>0.38851847999999994</v>
      </c>
    </row>
    <row r="33" spans="1:16" s="53" customFormat="1" x14ac:dyDescent="0.3">
      <c r="A33" s="85">
        <f>'Hist - Inside'!A33</f>
        <v>44743</v>
      </c>
      <c r="B33" s="53">
        <v>1355</v>
      </c>
      <c r="D33" s="52">
        <f t="shared" si="44"/>
        <v>14</v>
      </c>
      <c r="E33" s="52">
        <f t="shared" ref="E33:E35" si="54">ROUND(IF(B33&lt;650,B33*$D$84,650*$D$84),2)</f>
        <v>37.94</v>
      </c>
      <c r="F33" s="52">
        <f t="shared" ref="F33:F35" si="55">ROUND(IF(B33&lt;651,0,IF(B33&lt;1000,(B33-650)*$D$85,350*$D$85)),2)</f>
        <v>33.93</v>
      </c>
      <c r="G33" s="52">
        <f t="shared" ref="G33:G35" si="56">ROUND(IF(B33&lt;1001,0,(B33-1000)*$D$86),2)</f>
        <v>35.619999999999997</v>
      </c>
      <c r="I33" s="54">
        <f t="shared" ref="I33:I35" si="57">ROUND(SUM(D33:G33)*$G$83,2)</f>
        <v>22.5</v>
      </c>
      <c r="J33" s="54">
        <f t="shared" si="49"/>
        <v>1.22</v>
      </c>
      <c r="K33" s="54">
        <f t="shared" si="50"/>
        <v>4.63</v>
      </c>
      <c r="L33" s="52">
        <f t="shared" ref="L33:L35" si="58">ROUND(B33*$G$82,2)</f>
        <v>39.119999999999997</v>
      </c>
      <c r="M33" s="54">
        <f t="shared" si="52"/>
        <v>2.23</v>
      </c>
      <c r="N33" s="54">
        <f t="shared" si="43"/>
        <v>191.19</v>
      </c>
      <c r="P33" s="88">
        <f t="shared" si="53"/>
        <v>0.46099007999999997</v>
      </c>
    </row>
    <row r="34" spans="1:16" s="53" customFormat="1" x14ac:dyDescent="0.3">
      <c r="A34" s="85">
        <f>'Hist - Inside'!A34</f>
        <v>44774</v>
      </c>
      <c r="B34" s="53">
        <v>1305</v>
      </c>
      <c r="D34" s="52">
        <f t="shared" si="44"/>
        <v>14</v>
      </c>
      <c r="E34" s="52">
        <f t="shared" si="54"/>
        <v>37.94</v>
      </c>
      <c r="F34" s="52">
        <f t="shared" si="55"/>
        <v>33.93</v>
      </c>
      <c r="G34" s="52">
        <f t="shared" si="56"/>
        <v>30.6</v>
      </c>
      <c r="I34" s="54">
        <f t="shared" si="57"/>
        <v>21.57</v>
      </c>
      <c r="J34" s="54">
        <f t="shared" si="49"/>
        <v>1.17</v>
      </c>
      <c r="K34" s="54">
        <f t="shared" si="50"/>
        <v>4.4400000000000004</v>
      </c>
      <c r="L34" s="52">
        <f t="shared" si="58"/>
        <v>37.68</v>
      </c>
      <c r="M34" s="54">
        <f t="shared" si="52"/>
        <v>2.14</v>
      </c>
      <c r="N34" s="54">
        <f t="shared" si="43"/>
        <v>183.46999999999997</v>
      </c>
      <c r="P34" s="88">
        <f t="shared" si="53"/>
        <v>0.44402111999999999</v>
      </c>
    </row>
    <row r="35" spans="1:16" s="53" customFormat="1" x14ac:dyDescent="0.3">
      <c r="A35" s="85">
        <f>'Hist - Inside'!A35</f>
        <v>44805</v>
      </c>
      <c r="B35" s="53">
        <v>1002</v>
      </c>
      <c r="D35" s="52">
        <f t="shared" si="44"/>
        <v>14</v>
      </c>
      <c r="E35" s="52">
        <f t="shared" si="54"/>
        <v>37.94</v>
      </c>
      <c r="F35" s="52">
        <f t="shared" si="55"/>
        <v>33.93</v>
      </c>
      <c r="G35" s="52">
        <f t="shared" si="56"/>
        <v>0.2</v>
      </c>
      <c r="I35" s="54">
        <f t="shared" si="57"/>
        <v>15.94</v>
      </c>
      <c r="J35" s="54">
        <f t="shared" si="49"/>
        <v>0.87</v>
      </c>
      <c r="K35" s="54">
        <f t="shared" si="50"/>
        <v>3.28</v>
      </c>
      <c r="L35" s="52">
        <f t="shared" si="58"/>
        <v>28.93</v>
      </c>
      <c r="M35" s="54">
        <f t="shared" si="52"/>
        <v>1.59</v>
      </c>
      <c r="N35" s="54">
        <f t="shared" si="43"/>
        <v>136.68</v>
      </c>
      <c r="P35" s="88">
        <f t="shared" si="53"/>
        <v>0.34091111999999996</v>
      </c>
    </row>
    <row r="36" spans="1:16" s="53" customFormat="1" x14ac:dyDescent="0.3">
      <c r="A36" s="85">
        <f>'Hist - Inside'!A36</f>
        <v>44835</v>
      </c>
      <c r="B36" s="53">
        <v>824</v>
      </c>
      <c r="D36" s="52">
        <f t="shared" si="44"/>
        <v>14</v>
      </c>
      <c r="E36" s="52">
        <f t="shared" si="45"/>
        <v>37.94</v>
      </c>
      <c r="F36" s="52">
        <f t="shared" si="46"/>
        <v>8.7100000000000009</v>
      </c>
      <c r="G36" s="52">
        <f t="shared" si="47"/>
        <v>0</v>
      </c>
      <c r="I36" s="54">
        <f t="shared" si="48"/>
        <v>11.23</v>
      </c>
      <c r="J36" s="54">
        <f t="shared" si="49"/>
        <v>0.61</v>
      </c>
      <c r="K36" s="54">
        <f t="shared" si="50"/>
        <v>2.31</v>
      </c>
      <c r="L36" s="52">
        <f t="shared" si="51"/>
        <v>23.27</v>
      </c>
      <c r="M36" s="54">
        <f t="shared" si="52"/>
        <v>1.1599999999999999</v>
      </c>
      <c r="N36" s="54">
        <f>SUM(D36:M36)</f>
        <v>99.22999999999999</v>
      </c>
      <c r="P36" s="88">
        <f t="shared" si="53"/>
        <v>0.27421367999999996</v>
      </c>
    </row>
    <row r="37" spans="1:16" s="53" customFormat="1" x14ac:dyDescent="0.3">
      <c r="A37" s="85">
        <f>'Hist - Inside'!A37</f>
        <v>44866</v>
      </c>
      <c r="B37" s="53">
        <v>812</v>
      </c>
      <c r="D37" s="52">
        <f t="shared" si="44"/>
        <v>14</v>
      </c>
      <c r="E37" s="52">
        <f t="shared" si="45"/>
        <v>37.94</v>
      </c>
      <c r="F37" s="52">
        <f t="shared" si="46"/>
        <v>8.11</v>
      </c>
      <c r="G37" s="52">
        <f t="shared" si="47"/>
        <v>0</v>
      </c>
      <c r="I37" s="54">
        <f t="shared" si="48"/>
        <v>11.12</v>
      </c>
      <c r="J37" s="54">
        <f t="shared" si="49"/>
        <v>0.6</v>
      </c>
      <c r="K37" s="54">
        <f t="shared" si="50"/>
        <v>2.29</v>
      </c>
      <c r="L37" s="52">
        <f t="shared" si="51"/>
        <v>22.93</v>
      </c>
      <c r="M37" s="54">
        <f t="shared" si="52"/>
        <v>1.1399999999999999</v>
      </c>
      <c r="N37" s="54">
        <f t="shared" ref="N37:N38" si="59">SUM(D37:M37)</f>
        <v>98.13000000000001</v>
      </c>
      <c r="P37" s="88">
        <f t="shared" si="53"/>
        <v>0.27020711999999997</v>
      </c>
    </row>
    <row r="38" spans="1:16" s="53" customFormat="1" x14ac:dyDescent="0.3">
      <c r="A38" s="85">
        <f>'Hist - Inside'!A38</f>
        <v>44896</v>
      </c>
      <c r="B38" s="53">
        <v>1054</v>
      </c>
      <c r="D38" s="52">
        <f t="shared" si="44"/>
        <v>14</v>
      </c>
      <c r="E38" s="52">
        <f t="shared" si="45"/>
        <v>37.94</v>
      </c>
      <c r="F38" s="52">
        <f t="shared" si="46"/>
        <v>17.52</v>
      </c>
      <c r="G38" s="52">
        <f t="shared" si="47"/>
        <v>2.65</v>
      </c>
      <c r="I38" s="54">
        <f t="shared" si="48"/>
        <v>13.35</v>
      </c>
      <c r="J38" s="54">
        <f t="shared" si="49"/>
        <v>0.72</v>
      </c>
      <c r="K38" s="54">
        <f t="shared" si="50"/>
        <v>2.75</v>
      </c>
      <c r="L38" s="52">
        <f t="shared" si="51"/>
        <v>29.77</v>
      </c>
      <c r="M38" s="54">
        <f t="shared" si="52"/>
        <v>1.4</v>
      </c>
      <c r="N38" s="54">
        <f t="shared" si="59"/>
        <v>120.1</v>
      </c>
      <c r="P38" s="88">
        <f t="shared" si="53"/>
        <v>0.35080967999999996</v>
      </c>
    </row>
    <row r="40" spans="1:16" x14ac:dyDescent="0.3">
      <c r="A40" s="9" t="s">
        <v>26</v>
      </c>
      <c r="B40" s="13">
        <f>SUM(B3:B38)</f>
        <v>36000</v>
      </c>
      <c r="F40" s="9" t="s">
        <v>27</v>
      </c>
      <c r="G40" s="10">
        <f>SUM(D3:G38)</f>
        <v>2703.04</v>
      </c>
      <c r="I40" s="10">
        <f t="shared" ref="I40:N40" si="60">SUM(I3:I38)</f>
        <v>528.79999999999995</v>
      </c>
      <c r="J40" s="10">
        <f t="shared" si="60"/>
        <v>41.429999999999986</v>
      </c>
      <c r="K40" s="10">
        <f t="shared" si="60"/>
        <v>170.26</v>
      </c>
      <c r="L40" s="10">
        <f t="shared" si="60"/>
        <v>947.39999999999986</v>
      </c>
      <c r="M40" s="10">
        <f t="shared" si="60"/>
        <v>51.910000000000004</v>
      </c>
      <c r="N40" s="10">
        <f t="shared" si="60"/>
        <v>4442.84</v>
      </c>
      <c r="P40" s="15">
        <f>SUM(P3:P38)</f>
        <v>11.195309070000004</v>
      </c>
    </row>
    <row r="41" spans="1:16" x14ac:dyDescent="0.3">
      <c r="B41" s="13"/>
      <c r="G41" s="10"/>
      <c r="I41" s="10"/>
      <c r="J41" s="10"/>
      <c r="K41" s="10"/>
      <c r="L41" s="10"/>
      <c r="M41" s="10"/>
      <c r="N41" s="10"/>
      <c r="P41" s="15"/>
    </row>
    <row r="42" spans="1:16" x14ac:dyDescent="0.3">
      <c r="B42" s="17"/>
      <c r="G42" s="10"/>
      <c r="I42" s="10"/>
      <c r="J42" s="10"/>
      <c r="K42" s="10"/>
      <c r="L42" s="10"/>
      <c r="M42" s="10"/>
      <c r="N42" s="10"/>
      <c r="P42" s="15"/>
    </row>
    <row r="43" spans="1:16" ht="15.6" x14ac:dyDescent="0.45">
      <c r="A43" s="18" t="s">
        <v>28</v>
      </c>
      <c r="B43" s="19"/>
      <c r="C43" s="19"/>
      <c r="D43" s="19"/>
      <c r="E43" s="19"/>
      <c r="F43" s="19"/>
      <c r="G43" s="20"/>
      <c r="I43" s="21"/>
      <c r="J43" s="22"/>
      <c r="K43" s="22"/>
      <c r="L43" s="23"/>
      <c r="M43" s="23"/>
    </row>
    <row r="44" spans="1:16" s="53" customFormat="1" x14ac:dyDescent="0.3">
      <c r="A44" s="93" t="s">
        <v>29</v>
      </c>
      <c r="B44" s="94"/>
      <c r="C44" s="55"/>
      <c r="D44" s="56">
        <v>10</v>
      </c>
      <c r="F44" s="57" t="s">
        <v>30</v>
      </c>
      <c r="G44" s="58"/>
      <c r="K44" s="59"/>
    </row>
    <row r="45" spans="1:16" s="53" customFormat="1" x14ac:dyDescent="0.3">
      <c r="A45" s="97" t="s">
        <v>31</v>
      </c>
      <c r="B45" s="98"/>
      <c r="C45" s="55"/>
      <c r="D45" s="60">
        <v>5.6582E-2</v>
      </c>
      <c r="F45" s="61" t="s">
        <v>32</v>
      </c>
      <c r="G45" s="62">
        <v>2.8812999999999998E-2</v>
      </c>
      <c r="I45" s="54"/>
      <c r="J45" s="63"/>
      <c r="K45" s="64"/>
      <c r="L45" s="54"/>
      <c r="M45" s="54"/>
    </row>
    <row r="46" spans="1:16" s="53" customFormat="1" x14ac:dyDescent="0.3">
      <c r="A46" s="99" t="s">
        <v>33</v>
      </c>
      <c r="B46" s="100"/>
      <c r="D46" s="65">
        <v>4.8533E-2</v>
      </c>
      <c r="F46" s="66" t="s">
        <v>34</v>
      </c>
      <c r="G46" s="67">
        <v>3.1718000000000003E-2</v>
      </c>
    </row>
    <row r="47" spans="1:16" s="53" customFormat="1" x14ac:dyDescent="0.3">
      <c r="A47" s="95" t="s">
        <v>35</v>
      </c>
      <c r="B47" s="96"/>
      <c r="C47" s="68"/>
      <c r="D47" s="69">
        <v>4.7641000000000003E-2</v>
      </c>
      <c r="F47" s="57" t="s">
        <v>36</v>
      </c>
      <c r="G47" s="70">
        <v>0.20419399999999999</v>
      </c>
    </row>
    <row r="48" spans="1:16" s="53" customFormat="1" x14ac:dyDescent="0.3">
      <c r="A48" s="97" t="s">
        <v>37</v>
      </c>
      <c r="B48" s="98"/>
      <c r="D48" s="65">
        <v>5.6582E-2</v>
      </c>
      <c r="F48" s="71" t="s">
        <v>38</v>
      </c>
      <c r="G48" s="72">
        <v>1.1805E-2</v>
      </c>
      <c r="I48" s="73"/>
    </row>
    <row r="49" spans="1:14" s="53" customFormat="1" x14ac:dyDescent="0.3">
      <c r="A49" s="99" t="s">
        <v>39</v>
      </c>
      <c r="B49" s="100"/>
      <c r="D49" s="65">
        <v>9.3982999999999997E-2</v>
      </c>
      <c r="F49" s="66" t="s">
        <v>20</v>
      </c>
      <c r="G49" s="72">
        <v>1.8877999999999999E-2</v>
      </c>
    </row>
    <row r="50" spans="1:14" s="53" customFormat="1" x14ac:dyDescent="0.3">
      <c r="A50" s="95" t="s">
        <v>40</v>
      </c>
      <c r="B50" s="96"/>
      <c r="C50" s="68"/>
      <c r="D50" s="69">
        <v>9.7272999999999998E-2</v>
      </c>
      <c r="E50" s="68"/>
      <c r="F50" s="66" t="s">
        <v>41</v>
      </c>
      <c r="G50" s="72">
        <v>9.4596E-2</v>
      </c>
    </row>
    <row r="51" spans="1:14" x14ac:dyDescent="0.3">
      <c r="A51" s="11"/>
      <c r="B51" s="11"/>
      <c r="C51" s="11"/>
      <c r="D51" s="11"/>
      <c r="E51" s="11"/>
      <c r="H51" s="11"/>
      <c r="I51" s="11"/>
      <c r="J51" s="11"/>
      <c r="K51" s="11"/>
      <c r="L51" s="11"/>
      <c r="M51" s="11"/>
      <c r="N51" s="11"/>
    </row>
    <row r="52" spans="1:14" x14ac:dyDescent="0.3">
      <c r="A52" s="18" t="s">
        <v>42</v>
      </c>
      <c r="B52" s="19"/>
      <c r="C52" s="19"/>
      <c r="D52" s="19"/>
      <c r="E52" s="19"/>
      <c r="F52" s="19"/>
      <c r="G52" s="20"/>
      <c r="I52" s="10"/>
      <c r="J52" s="30"/>
      <c r="K52" s="30"/>
      <c r="N52" s="10"/>
    </row>
    <row r="53" spans="1:14" s="53" customFormat="1" x14ac:dyDescent="0.3">
      <c r="A53" s="93" t="s">
        <v>29</v>
      </c>
      <c r="B53" s="94"/>
      <c r="C53" s="55"/>
      <c r="D53" s="56">
        <v>10</v>
      </c>
      <c r="F53" s="57" t="s">
        <v>43</v>
      </c>
      <c r="G53" s="58"/>
      <c r="I53" s="54"/>
      <c r="J53" s="52"/>
      <c r="K53" s="52"/>
      <c r="N53" s="54"/>
    </row>
    <row r="54" spans="1:14" s="53" customFormat="1" x14ac:dyDescent="0.3">
      <c r="A54" s="74" t="s">
        <v>31</v>
      </c>
      <c r="B54" s="75"/>
      <c r="C54" s="55"/>
      <c r="D54" s="60">
        <v>5.6582E-2</v>
      </c>
      <c r="F54" s="61" t="s">
        <v>32</v>
      </c>
      <c r="G54" s="62">
        <v>2.4556999999999999E-2</v>
      </c>
      <c r="I54" s="54"/>
      <c r="J54" s="52"/>
      <c r="K54" s="52"/>
      <c r="N54" s="54"/>
    </row>
    <row r="55" spans="1:14" s="53" customFormat="1" x14ac:dyDescent="0.3">
      <c r="A55" s="76" t="s">
        <v>33</v>
      </c>
      <c r="B55" s="77"/>
      <c r="D55" s="65">
        <v>4.8533E-2</v>
      </c>
      <c r="F55" s="66" t="s">
        <v>34</v>
      </c>
      <c r="G55" s="67">
        <v>2.3375E-2</v>
      </c>
      <c r="I55" s="54"/>
      <c r="J55" s="52"/>
      <c r="K55" s="52"/>
      <c r="N55" s="54"/>
    </row>
    <row r="56" spans="1:14" s="53" customFormat="1" x14ac:dyDescent="0.3">
      <c r="A56" s="78" t="s">
        <v>35</v>
      </c>
      <c r="B56" s="79"/>
      <c r="C56" s="68"/>
      <c r="D56" s="69">
        <v>4.7641000000000003E-2</v>
      </c>
      <c r="F56" s="57" t="s">
        <v>36</v>
      </c>
      <c r="G56" s="70">
        <v>0.20419399999999999</v>
      </c>
      <c r="I56" s="54"/>
      <c r="J56" s="52"/>
      <c r="K56" s="52"/>
      <c r="N56" s="54"/>
    </row>
    <row r="57" spans="1:14" s="53" customFormat="1" x14ac:dyDescent="0.3">
      <c r="A57" s="74" t="s">
        <v>37</v>
      </c>
      <c r="B57" s="75"/>
      <c r="D57" s="65">
        <v>5.6582E-2</v>
      </c>
      <c r="F57" s="71" t="s">
        <v>38</v>
      </c>
      <c r="G57" s="72">
        <f>G48</f>
        <v>1.1805E-2</v>
      </c>
      <c r="I57" s="80"/>
      <c r="J57" s="52"/>
      <c r="K57" s="52"/>
      <c r="N57" s="54"/>
    </row>
    <row r="58" spans="1:14" s="53" customFormat="1" x14ac:dyDescent="0.3">
      <c r="A58" s="76" t="s">
        <v>39</v>
      </c>
      <c r="B58" s="77"/>
      <c r="D58" s="65">
        <v>9.3982999999999997E-2</v>
      </c>
      <c r="F58" s="66" t="s">
        <v>20</v>
      </c>
      <c r="G58" s="72">
        <v>1.8877999999999999E-2</v>
      </c>
      <c r="I58" s="54"/>
      <c r="J58" s="52"/>
      <c r="K58" s="52"/>
      <c r="N58" s="54"/>
    </row>
    <row r="59" spans="1:14" s="53" customFormat="1" x14ac:dyDescent="0.3">
      <c r="A59" s="78" t="s">
        <v>40</v>
      </c>
      <c r="B59" s="79"/>
      <c r="C59" s="68"/>
      <c r="D59" s="69">
        <v>9.7272999999999998E-2</v>
      </c>
      <c r="E59" s="68"/>
      <c r="F59" s="66" t="s">
        <v>41</v>
      </c>
      <c r="G59" s="72">
        <v>9.4596E-2</v>
      </c>
      <c r="I59" s="54"/>
      <c r="J59" s="52"/>
      <c r="K59" s="52"/>
      <c r="N59" s="54"/>
    </row>
    <row r="60" spans="1:14" x14ac:dyDescent="0.3">
      <c r="B60" s="17"/>
      <c r="D60" s="30"/>
      <c r="E60" s="30"/>
      <c r="F60" s="30"/>
      <c r="G60" s="30"/>
      <c r="I60" s="10"/>
      <c r="J60" s="30"/>
      <c r="K60" s="30"/>
      <c r="N60" s="10"/>
    </row>
    <row r="61" spans="1:14" s="1" customFormat="1" x14ac:dyDescent="0.3">
      <c r="A61" s="18" t="s">
        <v>44</v>
      </c>
      <c r="B61" s="19"/>
      <c r="C61" s="19"/>
      <c r="D61" s="19"/>
      <c r="E61" s="19"/>
      <c r="F61" s="19"/>
      <c r="G61" s="20"/>
    </row>
    <row r="62" spans="1:14" s="83" customFormat="1" x14ac:dyDescent="0.3">
      <c r="A62" s="81" t="s">
        <v>29</v>
      </c>
      <c r="B62" s="82"/>
      <c r="C62" s="55"/>
      <c r="D62" s="56">
        <v>10</v>
      </c>
      <c r="E62" s="53"/>
      <c r="F62" s="57" t="s">
        <v>45</v>
      </c>
      <c r="G62" s="58"/>
    </row>
    <row r="63" spans="1:14" s="83" customFormat="1" x14ac:dyDescent="0.3">
      <c r="A63" s="74" t="s">
        <v>31</v>
      </c>
      <c r="B63" s="75"/>
      <c r="C63" s="55"/>
      <c r="D63" s="60">
        <v>5.6582E-2</v>
      </c>
      <c r="E63" s="53"/>
      <c r="F63" s="61" t="s">
        <v>32</v>
      </c>
      <c r="G63" s="62">
        <v>2.4556999999999999E-2</v>
      </c>
    </row>
    <row r="64" spans="1:14" s="83" customFormat="1" x14ac:dyDescent="0.3">
      <c r="A64" s="76" t="s">
        <v>33</v>
      </c>
      <c r="B64" s="77"/>
      <c r="C64" s="53"/>
      <c r="D64" s="65">
        <v>4.8533E-2</v>
      </c>
      <c r="E64" s="53"/>
      <c r="F64" s="66" t="s">
        <v>34</v>
      </c>
      <c r="G64" s="67">
        <v>2.5104000000000001E-2</v>
      </c>
    </row>
    <row r="65" spans="1:9" s="83" customFormat="1" x14ac:dyDescent="0.3">
      <c r="A65" s="78" t="s">
        <v>35</v>
      </c>
      <c r="B65" s="79"/>
      <c r="C65" s="68"/>
      <c r="D65" s="69">
        <v>4.7641000000000003E-2</v>
      </c>
      <c r="E65" s="53"/>
      <c r="F65" s="57" t="s">
        <v>36</v>
      </c>
      <c r="G65" s="70">
        <v>0.20419399999999999</v>
      </c>
    </row>
    <row r="66" spans="1:9" s="83" customFormat="1" x14ac:dyDescent="0.3">
      <c r="A66" s="74" t="s">
        <v>37</v>
      </c>
      <c r="B66" s="75"/>
      <c r="C66" s="53"/>
      <c r="D66" s="65">
        <v>5.6582E-2</v>
      </c>
      <c r="E66" s="53"/>
      <c r="F66" s="71" t="s">
        <v>38</v>
      </c>
      <c r="G66" s="72">
        <f>G48</f>
        <v>1.1805E-2</v>
      </c>
      <c r="I66" s="84"/>
    </row>
    <row r="67" spans="1:9" s="83" customFormat="1" x14ac:dyDescent="0.3">
      <c r="A67" s="76" t="s">
        <v>39</v>
      </c>
      <c r="B67" s="77"/>
      <c r="C67" s="53"/>
      <c r="D67" s="65">
        <v>9.3982999999999997E-2</v>
      </c>
      <c r="E67" s="53"/>
      <c r="F67" s="66" t="s">
        <v>20</v>
      </c>
      <c r="G67" s="72">
        <v>1.8877999999999999E-2</v>
      </c>
    </row>
    <row r="68" spans="1:9" s="83" customFormat="1" x14ac:dyDescent="0.3">
      <c r="A68" s="78" t="s">
        <v>40</v>
      </c>
      <c r="B68" s="79"/>
      <c r="C68" s="68"/>
      <c r="D68" s="69">
        <v>9.7272999999999998E-2</v>
      </c>
      <c r="E68" s="68"/>
      <c r="F68" s="66" t="s">
        <v>41</v>
      </c>
      <c r="G68" s="72">
        <v>9.4596E-2</v>
      </c>
    </row>
    <row r="69" spans="1:9" s="83" customFormat="1" x14ac:dyDescent="0.3"/>
    <row r="70" spans="1:9" s="1" customFormat="1" x14ac:dyDescent="0.3">
      <c r="A70" s="18" t="s">
        <v>46</v>
      </c>
      <c r="B70" s="19"/>
      <c r="C70" s="19"/>
      <c r="D70" s="19"/>
      <c r="E70" s="19"/>
      <c r="F70" s="19"/>
      <c r="G70" s="20"/>
    </row>
    <row r="71" spans="1:9" s="83" customFormat="1" x14ac:dyDescent="0.3">
      <c r="A71" s="81" t="s">
        <v>29</v>
      </c>
      <c r="B71" s="82"/>
      <c r="C71" s="55"/>
      <c r="D71" s="56">
        <v>12</v>
      </c>
      <c r="E71" s="53"/>
      <c r="F71" s="57" t="s">
        <v>45</v>
      </c>
      <c r="G71" s="58"/>
    </row>
    <row r="72" spans="1:9" s="83" customFormat="1" x14ac:dyDescent="0.3">
      <c r="A72" s="74" t="s">
        <v>31</v>
      </c>
      <c r="B72" s="75"/>
      <c r="C72" s="55"/>
      <c r="D72" s="60">
        <v>5.6874000000000001E-2</v>
      </c>
      <c r="E72" s="53"/>
      <c r="F72" s="61" t="s">
        <v>32</v>
      </c>
      <c r="G72" s="62">
        <v>2.4556999999999999E-2</v>
      </c>
    </row>
    <row r="73" spans="1:9" s="83" customFormat="1" x14ac:dyDescent="0.3">
      <c r="A73" s="76" t="s">
        <v>33</v>
      </c>
      <c r="B73" s="77"/>
      <c r="C73" s="53"/>
      <c r="D73" s="65">
        <v>4.8784000000000001E-2</v>
      </c>
      <c r="E73" s="53"/>
      <c r="F73" s="66" t="s">
        <v>34</v>
      </c>
      <c r="G73" s="67">
        <v>2.5104000000000001E-2</v>
      </c>
    </row>
    <row r="74" spans="1:9" s="83" customFormat="1" x14ac:dyDescent="0.3">
      <c r="A74" s="78" t="s">
        <v>35</v>
      </c>
      <c r="B74" s="79"/>
      <c r="C74" s="68"/>
      <c r="D74" s="69">
        <v>4.7886999999999999E-2</v>
      </c>
      <c r="E74" s="53"/>
      <c r="F74" s="57" t="s">
        <v>36</v>
      </c>
      <c r="G74" s="70">
        <v>0.19827600000000001</v>
      </c>
    </row>
    <row r="75" spans="1:9" s="83" customFormat="1" x14ac:dyDescent="0.3">
      <c r="A75" s="74" t="s">
        <v>37</v>
      </c>
      <c r="B75" s="75"/>
      <c r="C75" s="53"/>
      <c r="D75" s="65">
        <v>5.6874000000000001E-2</v>
      </c>
      <c r="E75" s="53"/>
      <c r="F75" s="71" t="s">
        <v>38</v>
      </c>
      <c r="G75" s="72">
        <v>1.1867000000000001E-2</v>
      </c>
    </row>
    <row r="76" spans="1:9" s="83" customFormat="1" x14ac:dyDescent="0.3">
      <c r="A76" s="76" t="s">
        <v>39</v>
      </c>
      <c r="B76" s="77"/>
      <c r="C76" s="53"/>
      <c r="D76" s="65">
        <v>9.4467999999999996E-2</v>
      </c>
      <c r="E76" s="53"/>
      <c r="F76" s="66" t="s">
        <v>20</v>
      </c>
      <c r="G76" s="72">
        <v>1.7437999999999999E-2</v>
      </c>
    </row>
    <row r="77" spans="1:9" s="83" customFormat="1" x14ac:dyDescent="0.3">
      <c r="A77" s="78" t="s">
        <v>40</v>
      </c>
      <c r="B77" s="79"/>
      <c r="C77" s="68"/>
      <c r="D77" s="69">
        <v>9.7775000000000001E-2</v>
      </c>
      <c r="E77" s="68"/>
      <c r="F77" s="66" t="s">
        <v>41</v>
      </c>
      <c r="G77" s="72">
        <v>5.8456000000000001E-2</v>
      </c>
    </row>
    <row r="78" spans="1:9" s="1" customFormat="1" x14ac:dyDescent="0.3"/>
    <row r="79" spans="1:9" s="1" customFormat="1" x14ac:dyDescent="0.3">
      <c r="A79" s="18" t="s">
        <v>47</v>
      </c>
      <c r="B79" s="19"/>
      <c r="C79" s="19"/>
      <c r="D79" s="19"/>
      <c r="E79" s="19"/>
      <c r="F79" s="19"/>
      <c r="G79" s="20"/>
    </row>
    <row r="80" spans="1:9" s="83" customFormat="1" x14ac:dyDescent="0.3">
      <c r="A80" s="81" t="s">
        <v>29</v>
      </c>
      <c r="B80" s="82"/>
      <c r="C80" s="55"/>
      <c r="D80" s="56">
        <v>14</v>
      </c>
      <c r="E80" s="53"/>
      <c r="F80" s="57" t="s">
        <v>48</v>
      </c>
      <c r="G80" s="58"/>
    </row>
    <row r="81" spans="1:7" s="83" customFormat="1" x14ac:dyDescent="0.3">
      <c r="A81" s="74" t="s">
        <v>31</v>
      </c>
      <c r="B81" s="75"/>
      <c r="C81" s="55"/>
      <c r="D81" s="60">
        <v>5.8366000000000001E-2</v>
      </c>
      <c r="E81" s="53"/>
      <c r="F81" s="61" t="s">
        <v>32</v>
      </c>
      <c r="G81" s="62">
        <v>2.8240999999999999E-2</v>
      </c>
    </row>
    <row r="82" spans="1:7" s="83" customFormat="1" x14ac:dyDescent="0.3">
      <c r="A82" s="76" t="s">
        <v>33</v>
      </c>
      <c r="B82" s="77"/>
      <c r="C82" s="53"/>
      <c r="D82" s="65">
        <v>5.0061999999999995E-2</v>
      </c>
      <c r="E82" s="53"/>
      <c r="F82" s="66" t="s">
        <v>34</v>
      </c>
      <c r="G82" s="67">
        <v>2.887E-2</v>
      </c>
    </row>
    <row r="83" spans="1:7" s="83" customFormat="1" x14ac:dyDescent="0.3">
      <c r="A83" s="78" t="s">
        <v>35</v>
      </c>
      <c r="B83" s="79"/>
      <c r="C83" s="68"/>
      <c r="D83" s="69">
        <v>4.9142999999999999E-2</v>
      </c>
      <c r="E83" s="53"/>
      <c r="F83" s="57" t="s">
        <v>36</v>
      </c>
      <c r="G83" s="70">
        <v>0.18517900000000001</v>
      </c>
    </row>
    <row r="84" spans="1:7" s="83" customFormat="1" x14ac:dyDescent="0.3">
      <c r="A84" s="74" t="s">
        <v>37</v>
      </c>
      <c r="B84" s="75"/>
      <c r="C84" s="53"/>
      <c r="D84" s="65">
        <v>5.8366000000000001E-2</v>
      </c>
      <c r="E84" s="53"/>
      <c r="F84" s="71" t="s">
        <v>38</v>
      </c>
      <c r="G84" s="72">
        <v>1.1783999999999999E-2</v>
      </c>
    </row>
    <row r="85" spans="1:7" s="83" customFormat="1" x14ac:dyDescent="0.3">
      <c r="A85" s="76" t="s">
        <v>39</v>
      </c>
      <c r="B85" s="77"/>
      <c r="C85" s="53"/>
      <c r="D85" s="65">
        <v>9.6943000000000001E-2</v>
      </c>
      <c r="E85" s="53"/>
      <c r="F85" s="66" t="s">
        <v>20</v>
      </c>
      <c r="G85" s="72">
        <v>1.0052999999999999E-2</v>
      </c>
    </row>
    <row r="86" spans="1:7" s="83" customFormat="1" x14ac:dyDescent="0.3">
      <c r="A86" s="78" t="s">
        <v>40</v>
      </c>
      <c r="B86" s="79"/>
      <c r="C86" s="68"/>
      <c r="D86" s="69">
        <v>0.10033599999999999</v>
      </c>
      <c r="E86" s="68"/>
      <c r="F86" s="66" t="s">
        <v>41</v>
      </c>
      <c r="G86" s="72">
        <v>3.8129999999999997E-2</v>
      </c>
    </row>
    <row r="87" spans="1:7" s="1" customFormat="1" x14ac:dyDescent="0.3"/>
    <row r="88" spans="1:7" customFormat="1" ht="13.2" x14ac:dyDescent="0.25"/>
    <row r="89" spans="1:7" customFormat="1" ht="13.2" x14ac:dyDescent="0.25"/>
    <row r="90" spans="1:7" customFormat="1" ht="13.2" x14ac:dyDescent="0.25"/>
    <row r="91" spans="1:7" customFormat="1" ht="13.2" x14ac:dyDescent="0.25"/>
    <row r="92" spans="1:7" customFormat="1" ht="13.2" x14ac:dyDescent="0.25"/>
    <row r="93" spans="1:7" customFormat="1" ht="13.2" x14ac:dyDescent="0.25"/>
    <row r="94" spans="1:7" customFormat="1" ht="13.2" x14ac:dyDescent="0.25"/>
    <row r="95" spans="1:7" customFormat="1" ht="13.2" x14ac:dyDescent="0.25"/>
    <row r="96" spans="1:7" customFormat="1" ht="13.2" x14ac:dyDescent="0.25"/>
    <row r="97" customFormat="1" ht="13.2" x14ac:dyDescent="0.25"/>
    <row r="98" customFormat="1" ht="13.2" x14ac:dyDescent="0.25"/>
  </sheetData>
  <mergeCells count="8">
    <mergeCell ref="A50:B50"/>
    <mergeCell ref="A53:B53"/>
    <mergeCell ref="A44:B44"/>
    <mergeCell ref="A45:B45"/>
    <mergeCell ref="A46:B46"/>
    <mergeCell ref="A47:B47"/>
    <mergeCell ref="A48:B48"/>
    <mergeCell ref="A49:B49"/>
  </mergeCells>
  <pageMargins left="0.75" right="0.75" top="1.25" bottom="1" header="0.8" footer="0.8"/>
  <pageSetup scale="67" orientation="landscape" r:id="rId1"/>
  <headerFooter alignWithMargins="0">
    <oddHeader>&amp;R&amp;12MFRH 1.1
Docket No. 44902</oddHeader>
    <oddFooter>&amp;RPage &amp;P of &amp;N</oddFooter>
  </headerFooter>
  <rowBreaks count="1" manualBreakCount="1">
    <brk id="41" max="1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0F8B30-D963-4CCA-A99F-4CC9E8D24274}">
  <sheetPr>
    <tabColor indexed="43"/>
  </sheetPr>
  <dimension ref="A1:W95"/>
  <sheetViews>
    <sheetView zoomScale="90" zoomScaleNormal="90" zoomScaleSheetLayoutView="75" workbookViewId="0">
      <selection activeCell="A7" sqref="A7"/>
    </sheetView>
  </sheetViews>
  <sheetFormatPr defaultColWidth="9.109375" defaultRowHeight="13.8" x14ac:dyDescent="0.3"/>
  <cols>
    <col min="1" max="1" width="14.88671875" style="9" customWidth="1"/>
    <col min="2" max="2" width="9.109375" style="9" customWidth="1"/>
    <col min="3" max="3" width="9.88671875" style="9" customWidth="1"/>
    <col min="4" max="4" width="11.5546875" style="9" bestFit="1" customWidth="1"/>
    <col min="5" max="5" width="13.6640625" style="9" bestFit="1" customWidth="1"/>
    <col min="6" max="6" width="10.6640625" style="9" bestFit="1" customWidth="1"/>
    <col min="7" max="7" width="15.33203125" style="9" customWidth="1"/>
    <col min="8" max="8" width="2.88671875" style="9" customWidth="1"/>
    <col min="9" max="9" width="8.5546875" style="9" bestFit="1" customWidth="1"/>
    <col min="10" max="10" width="13" style="9" customWidth="1"/>
    <col min="11" max="11" width="11.6640625" style="9" customWidth="1"/>
    <col min="12" max="12" width="8.6640625" style="9" bestFit="1" customWidth="1"/>
    <col min="13" max="13" width="12" style="9" customWidth="1"/>
    <col min="14" max="16" width="11.88671875" style="9" customWidth="1"/>
    <col min="17" max="17" width="2.6640625" style="9" customWidth="1"/>
    <col min="18" max="18" width="7.5546875" style="9" bestFit="1" customWidth="1"/>
    <col min="19" max="19" width="9.6640625" style="9" bestFit="1" customWidth="1"/>
    <col min="20" max="16384" width="9.109375" style="9"/>
  </cols>
  <sheetData>
    <row r="1" spans="1:23" ht="18" x14ac:dyDescent="0.35">
      <c r="A1" s="8" t="s">
        <v>12</v>
      </c>
      <c r="J1" s="10"/>
      <c r="K1" s="10"/>
      <c r="L1" s="10"/>
      <c r="O1" s="10"/>
      <c r="Q1" s="10"/>
      <c r="T1" s="10"/>
    </row>
    <row r="2" spans="1:23" s="11" customFormat="1" ht="27.6" x14ac:dyDescent="0.3">
      <c r="A2" s="11" t="s">
        <v>13</v>
      </c>
      <c r="B2" s="11" t="s">
        <v>14</v>
      </c>
      <c r="D2" s="11" t="s">
        <v>15</v>
      </c>
      <c r="E2" s="11" t="s">
        <v>16</v>
      </c>
      <c r="F2" s="11" t="s">
        <v>17</v>
      </c>
      <c r="G2" s="11" t="s">
        <v>18</v>
      </c>
      <c r="I2" s="11" t="s">
        <v>19</v>
      </c>
      <c r="J2" s="11" t="s">
        <v>20</v>
      </c>
      <c r="K2" s="11" t="s">
        <v>21</v>
      </c>
      <c r="L2" s="11" t="s">
        <v>50</v>
      </c>
      <c r="M2" s="11" t="s">
        <v>22</v>
      </c>
      <c r="N2" s="11" t="s">
        <v>51</v>
      </c>
      <c r="O2" s="11" t="s">
        <v>23</v>
      </c>
      <c r="P2" s="11" t="s">
        <v>24</v>
      </c>
      <c r="R2" s="12" t="s">
        <v>25</v>
      </c>
    </row>
    <row r="3" spans="1:23" s="53" customFormat="1" x14ac:dyDescent="0.3">
      <c r="A3" s="85">
        <v>43831</v>
      </c>
      <c r="B3" s="86">
        <v>1098</v>
      </c>
      <c r="C3" s="87"/>
      <c r="D3" s="52">
        <f>$D$44</f>
        <v>10</v>
      </c>
      <c r="E3" s="52">
        <f>ROUND(IF(B3&lt;650,B3*$D$45,650*$D$45),2)</f>
        <v>36.78</v>
      </c>
      <c r="F3" s="52">
        <f>ROUND(IF(B3&lt;651,0,IF(B3&lt;1000,(B3-650)*$D$46,350*$D$46)),2)</f>
        <v>16.989999999999998</v>
      </c>
      <c r="G3" s="52">
        <f>ROUND(IF(B3&lt;1001,0,(B3-1000)*$D$47),2)</f>
        <v>4.67</v>
      </c>
      <c r="I3" s="54">
        <f>ROUND(SUM(D3:G3)*$G$47,2)</f>
        <v>13.98</v>
      </c>
      <c r="J3" s="54">
        <f>ROUND(SUM(D3:G3)*$G$49,2)</f>
        <v>1.29</v>
      </c>
      <c r="K3" s="54">
        <f>ROUND(SUM(D3:G3)*$G$50,2)</f>
        <v>6.47</v>
      </c>
      <c r="L3" s="54">
        <v>-18</v>
      </c>
      <c r="M3" s="52">
        <f>ROUND(B3*$G$45,2)</f>
        <v>31.64</v>
      </c>
      <c r="N3" s="54">
        <v>-6</v>
      </c>
      <c r="O3" s="54">
        <f>ROUND(SUM(D3:N3)*$G$48,2)</f>
        <v>2.99</v>
      </c>
      <c r="P3" s="54">
        <f>SUM(D3:O3)</f>
        <v>100.81</v>
      </c>
      <c r="R3" s="88">
        <f>(M3+N3)*$G$48</f>
        <v>0.78307123999999995</v>
      </c>
    </row>
    <row r="4" spans="1:23" s="53" customFormat="1" x14ac:dyDescent="0.3">
      <c r="A4" s="85">
        <v>43862</v>
      </c>
      <c r="B4" s="86">
        <v>904</v>
      </c>
      <c r="C4" s="87"/>
      <c r="D4" s="52">
        <f t="shared" ref="D4:D7" si="0">$D$44</f>
        <v>10</v>
      </c>
      <c r="E4" s="52">
        <f t="shared" ref="E4:E7" si="1">ROUND(IF(B4&lt;650,B4*$D$45,650*$D$45),2)</f>
        <v>36.78</v>
      </c>
      <c r="F4" s="52">
        <f t="shared" ref="F4:F7" si="2">ROUND(IF(B4&lt;651,0,IF(B4&lt;1000,(B4-650)*$D$46,350*$D$46)),2)</f>
        <v>12.33</v>
      </c>
      <c r="G4" s="52">
        <f t="shared" ref="G4:G7" si="3">ROUND(IF(B4&lt;1001,0,(B4-1000)*$D$47),2)</f>
        <v>0</v>
      </c>
      <c r="I4" s="54">
        <f t="shared" ref="I4:I7" si="4">ROUND(SUM(D4:G4)*$G$47,2)</f>
        <v>12.07</v>
      </c>
      <c r="J4" s="54">
        <f t="shared" ref="J4:J7" si="5">ROUND(SUM(D4:G4)*$G$49,2)</f>
        <v>1.1200000000000001</v>
      </c>
      <c r="K4" s="54">
        <f t="shared" ref="K4:K7" si="6">ROUND(SUM(D4:G4)*$G$50,2)</f>
        <v>5.59</v>
      </c>
      <c r="L4" s="54">
        <v>-18</v>
      </c>
      <c r="M4" s="52">
        <f t="shared" ref="M4:M7" si="7">ROUND(B4*$G$45,2)</f>
        <v>26.05</v>
      </c>
      <c r="N4" s="54">
        <v>-6</v>
      </c>
      <c r="O4" s="54">
        <f t="shared" ref="O4:O14" si="8">ROUND(SUM(D4:N4)*$G$48,2)</f>
        <v>2.44</v>
      </c>
      <c r="P4" s="54">
        <f t="shared" ref="P4:P19" si="9">SUM(D4:O4)</f>
        <v>82.38000000000001</v>
      </c>
      <c r="R4" s="88">
        <f t="shared" ref="R4:R38" si="10">(M4+N4)*$G$48</f>
        <v>0.61234705</v>
      </c>
    </row>
    <row r="5" spans="1:23" s="53" customFormat="1" x14ac:dyDescent="0.3">
      <c r="A5" s="85">
        <v>43891</v>
      </c>
      <c r="B5" s="86">
        <v>849</v>
      </c>
      <c r="C5" s="87"/>
      <c r="D5" s="52">
        <f t="shared" si="0"/>
        <v>10</v>
      </c>
      <c r="E5" s="52">
        <f t="shared" si="1"/>
        <v>36.78</v>
      </c>
      <c r="F5" s="52">
        <f t="shared" si="2"/>
        <v>9.66</v>
      </c>
      <c r="G5" s="52">
        <f t="shared" si="3"/>
        <v>0</v>
      </c>
      <c r="I5" s="54">
        <f t="shared" si="4"/>
        <v>11.52</v>
      </c>
      <c r="J5" s="54">
        <f t="shared" si="5"/>
        <v>1.07</v>
      </c>
      <c r="K5" s="54">
        <f t="shared" si="6"/>
        <v>5.34</v>
      </c>
      <c r="L5" s="54">
        <v>-18</v>
      </c>
      <c r="M5" s="52">
        <f t="shared" si="7"/>
        <v>24.46</v>
      </c>
      <c r="N5" s="54">
        <v>-6</v>
      </c>
      <c r="O5" s="54">
        <f t="shared" si="8"/>
        <v>2.29</v>
      </c>
      <c r="P5" s="54">
        <f t="shared" si="9"/>
        <v>77.11999999999999</v>
      </c>
      <c r="R5" s="88">
        <f t="shared" si="10"/>
        <v>0.56378686</v>
      </c>
    </row>
    <row r="6" spans="1:23" s="53" customFormat="1" x14ac:dyDescent="0.3">
      <c r="A6" s="85">
        <v>43922</v>
      </c>
      <c r="B6" s="86">
        <v>744</v>
      </c>
      <c r="C6" s="87"/>
      <c r="D6" s="52">
        <f t="shared" si="0"/>
        <v>10</v>
      </c>
      <c r="E6" s="52">
        <f t="shared" si="1"/>
        <v>36.78</v>
      </c>
      <c r="F6" s="52">
        <f t="shared" si="2"/>
        <v>4.5599999999999996</v>
      </c>
      <c r="G6" s="52">
        <f t="shared" si="3"/>
        <v>0</v>
      </c>
      <c r="I6" s="54">
        <f t="shared" si="4"/>
        <v>10.48</v>
      </c>
      <c r="J6" s="54">
        <f t="shared" si="5"/>
        <v>0.97</v>
      </c>
      <c r="K6" s="54">
        <f t="shared" si="6"/>
        <v>4.8600000000000003</v>
      </c>
      <c r="L6" s="54">
        <v>-18</v>
      </c>
      <c r="M6" s="52">
        <f t="shared" si="7"/>
        <v>21.44</v>
      </c>
      <c r="N6" s="54">
        <v>-6</v>
      </c>
      <c r="O6" s="54">
        <f t="shared" si="8"/>
        <v>1.99</v>
      </c>
      <c r="P6" s="54">
        <f t="shared" si="9"/>
        <v>67.08</v>
      </c>
      <c r="R6" s="88">
        <f t="shared" si="10"/>
        <v>0.47155304000000003</v>
      </c>
    </row>
    <row r="7" spans="1:23" s="53" customFormat="1" x14ac:dyDescent="0.3">
      <c r="A7" s="85">
        <v>43952</v>
      </c>
      <c r="B7" s="86">
        <v>911</v>
      </c>
      <c r="C7" s="87"/>
      <c r="D7" s="52">
        <f t="shared" si="0"/>
        <v>10</v>
      </c>
      <c r="E7" s="52">
        <f t="shared" si="1"/>
        <v>36.78</v>
      </c>
      <c r="F7" s="52">
        <f t="shared" si="2"/>
        <v>12.67</v>
      </c>
      <c r="G7" s="52">
        <f t="shared" si="3"/>
        <v>0</v>
      </c>
      <c r="I7" s="54">
        <f t="shared" si="4"/>
        <v>12.14</v>
      </c>
      <c r="J7" s="54">
        <f t="shared" si="5"/>
        <v>1.1200000000000001</v>
      </c>
      <c r="K7" s="54">
        <f t="shared" si="6"/>
        <v>5.62</v>
      </c>
      <c r="L7" s="54">
        <v>-18</v>
      </c>
      <c r="M7" s="52">
        <f t="shared" si="7"/>
        <v>26.25</v>
      </c>
      <c r="N7" s="54">
        <v>-6</v>
      </c>
      <c r="O7" s="54">
        <f t="shared" si="8"/>
        <v>2.46</v>
      </c>
      <c r="P7" s="54">
        <f t="shared" si="9"/>
        <v>83.04</v>
      </c>
      <c r="R7" s="88">
        <f t="shared" si="10"/>
        <v>0.61845525000000001</v>
      </c>
    </row>
    <row r="8" spans="1:23" s="53" customFormat="1" x14ac:dyDescent="0.3">
      <c r="A8" s="85">
        <v>43983</v>
      </c>
      <c r="B8" s="86">
        <v>1142</v>
      </c>
      <c r="C8" s="87"/>
      <c r="D8" s="52">
        <f>$D$53</f>
        <v>10</v>
      </c>
      <c r="E8" s="52">
        <f>ROUND(IF(B8&lt;650,B8*$D$57,650*$D$57),2)</f>
        <v>36.78</v>
      </c>
      <c r="F8" s="52">
        <f>ROUND(IF(B8&lt;651,0,IF(B8&lt;1000,(B8-650)*$D$58,350*$D$58)),2)</f>
        <v>32.89</v>
      </c>
      <c r="G8" s="52">
        <f>ROUND(IF(B8&lt;1001,0,(B8-1000)*$D$59),2)</f>
        <v>13.81</v>
      </c>
      <c r="I8" s="54">
        <f>ROUND(SUM(D8:G8)*$G$56,2)</f>
        <v>19.09</v>
      </c>
      <c r="J8" s="54">
        <f>ROUND(SUM(D8:G8)*$G$58,2)</f>
        <v>1.76</v>
      </c>
      <c r="K8" s="54">
        <f>ROUND(SUM(D8:G8)*$G$59,2)</f>
        <v>8.84</v>
      </c>
      <c r="L8" s="54">
        <v>-18</v>
      </c>
      <c r="M8" s="52">
        <f>ROUND(B8*$G$55,2)</f>
        <v>26.69</v>
      </c>
      <c r="N8" s="54">
        <v>-6</v>
      </c>
      <c r="O8" s="54">
        <f t="shared" si="8"/>
        <v>3.84</v>
      </c>
      <c r="P8" s="54">
        <f t="shared" si="9"/>
        <v>129.70000000000002</v>
      </c>
      <c r="R8" s="88">
        <f t="shared" si="10"/>
        <v>0.63189329000000005</v>
      </c>
    </row>
    <row r="9" spans="1:23" s="53" customFormat="1" x14ac:dyDescent="0.3">
      <c r="A9" s="85">
        <v>44013</v>
      </c>
      <c r="B9" s="86">
        <v>1355</v>
      </c>
      <c r="C9" s="87"/>
      <c r="D9" s="52">
        <f t="shared" ref="D9:D11" si="11">$D$53</f>
        <v>10</v>
      </c>
      <c r="E9" s="52">
        <f t="shared" ref="E9:E11" si="12">ROUND(IF(B9&lt;650,B9*$D$57,650*$D$57),2)</f>
        <v>36.78</v>
      </c>
      <c r="F9" s="52">
        <f t="shared" ref="F9:F11" si="13">ROUND(IF(B9&lt;651,0,IF(B9&lt;1000,(B9-650)*$D$58,350*$D$58)),2)</f>
        <v>32.89</v>
      </c>
      <c r="G9" s="52">
        <f t="shared" ref="G9:G11" si="14">ROUND(IF(B9&lt;1001,0,(B9-1000)*$D$59),2)</f>
        <v>34.53</v>
      </c>
      <c r="I9" s="54">
        <f t="shared" ref="I9:I11" si="15">ROUND(SUM(D9:G9)*$G$56,2)</f>
        <v>23.32</v>
      </c>
      <c r="J9" s="54">
        <f t="shared" ref="J9:J11" si="16">ROUND(SUM(D9:G9)*$G$58,2)</f>
        <v>2.16</v>
      </c>
      <c r="K9" s="54">
        <f t="shared" ref="K9:K11" si="17">ROUND(SUM(D9:G9)*$G$59,2)</f>
        <v>10.8</v>
      </c>
      <c r="L9" s="54">
        <v>-18</v>
      </c>
      <c r="M9" s="52">
        <f t="shared" ref="M9:M11" si="18">ROUND(B9*$G$55,2)</f>
        <v>31.67</v>
      </c>
      <c r="N9" s="54">
        <v>-6</v>
      </c>
      <c r="O9" s="54">
        <f t="shared" si="8"/>
        <v>4.83</v>
      </c>
      <c r="P9" s="54">
        <f t="shared" si="9"/>
        <v>162.98000000000005</v>
      </c>
      <c r="R9" s="88">
        <f t="shared" si="10"/>
        <v>0.78398747000000002</v>
      </c>
    </row>
    <row r="10" spans="1:23" s="53" customFormat="1" x14ac:dyDescent="0.3">
      <c r="A10" s="85">
        <v>44044</v>
      </c>
      <c r="B10" s="86">
        <v>1305</v>
      </c>
      <c r="C10" s="87"/>
      <c r="D10" s="52">
        <f t="shared" si="11"/>
        <v>10</v>
      </c>
      <c r="E10" s="52">
        <f t="shared" si="12"/>
        <v>36.78</v>
      </c>
      <c r="F10" s="52">
        <f t="shared" si="13"/>
        <v>32.89</v>
      </c>
      <c r="G10" s="52">
        <f t="shared" si="14"/>
        <v>29.67</v>
      </c>
      <c r="I10" s="54">
        <f t="shared" si="15"/>
        <v>22.33</v>
      </c>
      <c r="J10" s="54">
        <f t="shared" si="16"/>
        <v>2.06</v>
      </c>
      <c r="K10" s="54">
        <f t="shared" si="17"/>
        <v>10.34</v>
      </c>
      <c r="L10" s="54">
        <v>-18</v>
      </c>
      <c r="M10" s="52">
        <f t="shared" si="18"/>
        <v>30.5</v>
      </c>
      <c r="N10" s="54">
        <v>-6</v>
      </c>
      <c r="O10" s="54">
        <f t="shared" si="8"/>
        <v>4.5999999999999996</v>
      </c>
      <c r="P10" s="54">
        <f t="shared" si="9"/>
        <v>155.17000000000002</v>
      </c>
      <c r="R10" s="88">
        <f t="shared" si="10"/>
        <v>0.74825449999999993</v>
      </c>
    </row>
    <row r="11" spans="1:23" s="53" customFormat="1" x14ac:dyDescent="0.3">
      <c r="A11" s="85">
        <v>44075</v>
      </c>
      <c r="B11" s="86">
        <v>1002</v>
      </c>
      <c r="C11" s="87"/>
      <c r="D11" s="52">
        <f t="shared" si="11"/>
        <v>10</v>
      </c>
      <c r="E11" s="52">
        <f t="shared" si="12"/>
        <v>36.78</v>
      </c>
      <c r="F11" s="52">
        <f t="shared" si="13"/>
        <v>32.89</v>
      </c>
      <c r="G11" s="52">
        <f t="shared" si="14"/>
        <v>0.19</v>
      </c>
      <c r="I11" s="54">
        <f t="shared" si="15"/>
        <v>16.309999999999999</v>
      </c>
      <c r="J11" s="54">
        <f t="shared" si="16"/>
        <v>1.51</v>
      </c>
      <c r="K11" s="54">
        <f t="shared" si="17"/>
        <v>7.55</v>
      </c>
      <c r="L11" s="54">
        <v>-18</v>
      </c>
      <c r="M11" s="52">
        <f t="shared" si="18"/>
        <v>23.42</v>
      </c>
      <c r="N11" s="54">
        <v>-6</v>
      </c>
      <c r="O11" s="54">
        <f t="shared" si="8"/>
        <v>3.2</v>
      </c>
      <c r="P11" s="54">
        <f t="shared" si="9"/>
        <v>107.85000000000001</v>
      </c>
      <c r="R11" s="88">
        <f t="shared" si="10"/>
        <v>0.53202422000000005</v>
      </c>
    </row>
    <row r="12" spans="1:23" s="53" customFormat="1" x14ac:dyDescent="0.3">
      <c r="A12" s="85">
        <v>44105</v>
      </c>
      <c r="B12" s="86">
        <v>824</v>
      </c>
      <c r="C12" s="87"/>
      <c r="D12" s="52">
        <f>$D$62</f>
        <v>10</v>
      </c>
      <c r="E12" s="52">
        <f>ROUND(IF(B12&lt;650,B12*$D$63,650*$D$63),2)</f>
        <v>36.78</v>
      </c>
      <c r="F12" s="52">
        <f>ROUND(IF(B12&lt;651,0,IF(B12&lt;1000,(B12-650)*$D$64,350*$D$64)),2)</f>
        <v>8.44</v>
      </c>
      <c r="G12" s="52">
        <f>ROUND(IF(B12&lt;1001,0,(B12-1000)*$D$65),2)</f>
        <v>0</v>
      </c>
      <c r="I12" s="54">
        <f>ROUND(SUM(D12:G12)*$G$65,2)</f>
        <v>11.28</v>
      </c>
      <c r="J12" s="54">
        <f>ROUND(SUM(D12:G12)*$G$67,2)</f>
        <v>1.04</v>
      </c>
      <c r="K12" s="54">
        <f>ROUND(SUM(D12:G12)*$G$68,2)</f>
        <v>5.22</v>
      </c>
      <c r="L12" s="54">
        <v>-18</v>
      </c>
      <c r="M12" s="52">
        <f>ROUND(B12*$G$63,2)</f>
        <v>20.23</v>
      </c>
      <c r="N12" s="54">
        <v>-6</v>
      </c>
      <c r="O12" s="54">
        <f t="shared" si="8"/>
        <v>2.11</v>
      </c>
      <c r="P12" s="54">
        <f>SUM(D12:O12)</f>
        <v>71.100000000000009</v>
      </c>
      <c r="R12" s="88">
        <f t="shared" si="10"/>
        <v>0.43459842999999998</v>
      </c>
    </row>
    <row r="13" spans="1:23" s="53" customFormat="1" x14ac:dyDescent="0.3">
      <c r="A13" s="85">
        <v>44136</v>
      </c>
      <c r="B13" s="86">
        <v>812</v>
      </c>
      <c r="C13" s="87"/>
      <c r="D13" s="52">
        <f t="shared" ref="D13:D14" si="19">$D$62</f>
        <v>10</v>
      </c>
      <c r="E13" s="52">
        <f t="shared" ref="E13:E14" si="20">ROUND(IF(B13&lt;650,B13*$D$63,650*$D$63),2)</f>
        <v>36.78</v>
      </c>
      <c r="F13" s="52">
        <f t="shared" ref="F13:F14" si="21">ROUND(IF(B13&lt;651,0,IF(B13&lt;1000,(B13-650)*$D$64,350*$D$64)),2)</f>
        <v>7.86</v>
      </c>
      <c r="G13" s="52">
        <f t="shared" ref="G13:G14" si="22">ROUND(IF(B13&lt;1001,0,(B13-1000)*$D$65),2)</f>
        <v>0</v>
      </c>
      <c r="I13" s="54">
        <f t="shared" ref="I13:I14" si="23">ROUND(SUM(D13:G13)*$G$65,2)</f>
        <v>11.16</v>
      </c>
      <c r="J13" s="54">
        <f t="shared" ref="J13:J14" si="24">ROUND(SUM(D13:G13)*$G$67,2)</f>
        <v>1.03</v>
      </c>
      <c r="K13" s="54">
        <f t="shared" ref="K13:K14" si="25">ROUND(SUM(D13:G13)*$G$68,2)</f>
        <v>5.17</v>
      </c>
      <c r="L13" s="54">
        <v>-18</v>
      </c>
      <c r="M13" s="52">
        <f t="shared" ref="M13:M14" si="26">ROUND(B13*$G$63,2)</f>
        <v>19.940000000000001</v>
      </c>
      <c r="N13" s="54">
        <v>-6</v>
      </c>
      <c r="O13" s="54">
        <f t="shared" si="8"/>
        <v>2.0699999999999998</v>
      </c>
      <c r="P13" s="54">
        <f t="shared" si="9"/>
        <v>70.009999999999991</v>
      </c>
      <c r="R13" s="88">
        <f t="shared" si="10"/>
        <v>0.42574154000000003</v>
      </c>
      <c r="W13" s="89"/>
    </row>
    <row r="14" spans="1:23" s="53" customFormat="1" x14ac:dyDescent="0.3">
      <c r="A14" s="85">
        <v>44166</v>
      </c>
      <c r="B14" s="86">
        <v>1054</v>
      </c>
      <c r="C14" s="87"/>
      <c r="D14" s="52">
        <f t="shared" si="19"/>
        <v>10</v>
      </c>
      <c r="E14" s="52">
        <f t="shared" si="20"/>
        <v>36.78</v>
      </c>
      <c r="F14" s="52">
        <f t="shared" si="21"/>
        <v>16.989999999999998</v>
      </c>
      <c r="G14" s="52">
        <f t="shared" si="22"/>
        <v>2.57</v>
      </c>
      <c r="I14" s="54">
        <f t="shared" si="23"/>
        <v>13.55</v>
      </c>
      <c r="J14" s="54">
        <f t="shared" si="24"/>
        <v>1.25</v>
      </c>
      <c r="K14" s="54">
        <f t="shared" si="25"/>
        <v>6.28</v>
      </c>
      <c r="L14" s="54">
        <v>-18</v>
      </c>
      <c r="M14" s="52">
        <f t="shared" si="26"/>
        <v>25.88</v>
      </c>
      <c r="N14" s="54">
        <v>-6</v>
      </c>
      <c r="O14" s="54">
        <f t="shared" si="8"/>
        <v>2.73</v>
      </c>
      <c r="P14" s="54">
        <f t="shared" si="9"/>
        <v>92.029999999999987</v>
      </c>
      <c r="R14" s="88">
        <f t="shared" si="10"/>
        <v>0.60715507999999996</v>
      </c>
      <c r="W14" s="89"/>
    </row>
    <row r="15" spans="1:23" s="53" customFormat="1" x14ac:dyDescent="0.3">
      <c r="A15" s="85">
        <v>44197</v>
      </c>
      <c r="B15" s="86">
        <v>1098</v>
      </c>
      <c r="C15" s="87"/>
      <c r="D15" s="52">
        <f>$D$71</f>
        <v>12</v>
      </c>
      <c r="E15" s="52">
        <f>ROUND(IF(B15&lt;650,B15*$D$72,650*$D$72),2)</f>
        <v>36.97</v>
      </c>
      <c r="F15" s="52">
        <f>ROUND(IF(B15&lt;651,0,IF(B15&lt;1000,(B15-650)*$D$73,350*$D$73)),2)</f>
        <v>17.07</v>
      </c>
      <c r="G15" s="52">
        <f>ROUND(IF(B15&lt;1001,0,(B15-1000)*$D$74),2)</f>
        <v>4.6900000000000004</v>
      </c>
      <c r="I15" s="54">
        <f>ROUND(SUM(D15:G15)*$G$74,2)</f>
        <v>14.02</v>
      </c>
      <c r="J15" s="54">
        <f>ROUND(SUM(D15:G15)*$G$76,2)</f>
        <v>1.23</v>
      </c>
      <c r="K15" s="54">
        <f>ROUND(SUM(D15:G15)*$G$77,2)</f>
        <v>4.13</v>
      </c>
      <c r="L15" s="54">
        <v>-18</v>
      </c>
      <c r="M15" s="52">
        <f>ROUND(B15*$G$72,2)</f>
        <v>26.96</v>
      </c>
      <c r="N15" s="54">
        <v>-6</v>
      </c>
      <c r="O15" s="54">
        <f>ROUND(SUM(D15:N15)*$G$75,2)</f>
        <v>2.85</v>
      </c>
      <c r="P15" s="54">
        <f t="shared" si="9"/>
        <v>95.919999999999987</v>
      </c>
      <c r="R15" s="88">
        <f t="shared" si="10"/>
        <v>0.64013936000000005</v>
      </c>
      <c r="W15" s="89"/>
    </row>
    <row r="16" spans="1:23" s="53" customFormat="1" x14ac:dyDescent="0.3">
      <c r="A16" s="85">
        <v>44228</v>
      </c>
      <c r="B16" s="86">
        <v>904</v>
      </c>
      <c r="C16" s="87"/>
      <c r="D16" s="52">
        <f t="shared" ref="D16:D26" si="27">$D$71</f>
        <v>12</v>
      </c>
      <c r="E16" s="52">
        <f t="shared" ref="E16:E26" si="28">ROUND(IF(B16&lt;650,B16*$D$72,650*$D$72),2)</f>
        <v>36.97</v>
      </c>
      <c r="F16" s="52">
        <f t="shared" ref="F16:F26" si="29">ROUND(IF(B16&lt;651,0,IF(B16&lt;1000,(B16-650)*$D$73,350*$D$73)),2)</f>
        <v>12.39</v>
      </c>
      <c r="G16" s="52">
        <f t="shared" ref="G16:G26" si="30">ROUND(IF(B16&lt;1001,0,(B16-1000)*$D$74),2)</f>
        <v>0</v>
      </c>
      <c r="I16" s="54">
        <f t="shared" ref="I16:I26" si="31">ROUND(SUM(D16:G16)*$G$74,2)</f>
        <v>12.17</v>
      </c>
      <c r="J16" s="54">
        <f t="shared" ref="J16:J26" si="32">ROUND(SUM(D16:G16)*$G$76,2)</f>
        <v>1.07</v>
      </c>
      <c r="K16" s="54">
        <f t="shared" ref="K16:K26" si="33">ROUND(SUM(D16:G16)*$G$77,2)</f>
        <v>3.59</v>
      </c>
      <c r="L16" s="54">
        <v>-18</v>
      </c>
      <c r="M16" s="52">
        <f t="shared" ref="M16:M26" si="34">ROUND(B16*$G$72,2)</f>
        <v>22.2</v>
      </c>
      <c r="N16" s="54">
        <v>-6</v>
      </c>
      <c r="O16" s="54">
        <f t="shared" ref="O16:O26" si="35">ROUND(SUM(D16:N16)*$G$75,2)</f>
        <v>2.34</v>
      </c>
      <c r="P16" s="54">
        <f t="shared" si="9"/>
        <v>78.73</v>
      </c>
      <c r="R16" s="88">
        <f t="shared" si="10"/>
        <v>0.49476419999999993</v>
      </c>
      <c r="W16" s="89"/>
    </row>
    <row r="17" spans="1:23" s="53" customFormat="1" x14ac:dyDescent="0.3">
      <c r="A17" s="85">
        <v>44256</v>
      </c>
      <c r="B17" s="86">
        <v>849</v>
      </c>
      <c r="C17" s="87"/>
      <c r="D17" s="52">
        <f t="shared" si="27"/>
        <v>12</v>
      </c>
      <c r="E17" s="52">
        <f t="shared" si="28"/>
        <v>36.97</v>
      </c>
      <c r="F17" s="52">
        <f t="shared" si="29"/>
        <v>9.7100000000000009</v>
      </c>
      <c r="G17" s="52">
        <f t="shared" si="30"/>
        <v>0</v>
      </c>
      <c r="I17" s="54">
        <f t="shared" si="31"/>
        <v>11.63</v>
      </c>
      <c r="J17" s="54">
        <f t="shared" si="32"/>
        <v>1.02</v>
      </c>
      <c r="K17" s="54">
        <f t="shared" si="33"/>
        <v>3.43</v>
      </c>
      <c r="L17" s="54">
        <v>-18</v>
      </c>
      <c r="M17" s="52">
        <f t="shared" si="34"/>
        <v>20.85</v>
      </c>
      <c r="N17" s="54">
        <v>-6</v>
      </c>
      <c r="O17" s="54">
        <f t="shared" si="35"/>
        <v>2.19</v>
      </c>
      <c r="P17" s="54">
        <f t="shared" si="9"/>
        <v>73.800000000000011</v>
      </c>
      <c r="R17" s="88">
        <f t="shared" si="10"/>
        <v>0.45353385000000002</v>
      </c>
      <c r="W17" s="89"/>
    </row>
    <row r="18" spans="1:23" s="53" customFormat="1" x14ac:dyDescent="0.3">
      <c r="A18" s="85">
        <v>44287</v>
      </c>
      <c r="B18" s="86">
        <v>744</v>
      </c>
      <c r="C18" s="87"/>
      <c r="D18" s="52">
        <f t="shared" si="27"/>
        <v>12</v>
      </c>
      <c r="E18" s="52">
        <f t="shared" si="28"/>
        <v>36.97</v>
      </c>
      <c r="F18" s="52">
        <f t="shared" si="29"/>
        <v>4.59</v>
      </c>
      <c r="G18" s="52">
        <f t="shared" si="30"/>
        <v>0</v>
      </c>
      <c r="I18" s="54">
        <f t="shared" si="31"/>
        <v>10.62</v>
      </c>
      <c r="J18" s="54">
        <f t="shared" si="32"/>
        <v>0.93</v>
      </c>
      <c r="K18" s="54">
        <f t="shared" si="33"/>
        <v>3.13</v>
      </c>
      <c r="L18" s="54">
        <v>-18</v>
      </c>
      <c r="M18" s="52">
        <f t="shared" si="34"/>
        <v>18.27</v>
      </c>
      <c r="N18" s="54">
        <v>-6</v>
      </c>
      <c r="O18" s="54">
        <f t="shared" si="35"/>
        <v>1.91</v>
      </c>
      <c r="P18" s="54">
        <f t="shared" si="9"/>
        <v>64.42</v>
      </c>
      <c r="R18" s="88">
        <f t="shared" si="10"/>
        <v>0.37473806999999998</v>
      </c>
      <c r="W18" s="89"/>
    </row>
    <row r="19" spans="1:23" s="53" customFormat="1" x14ac:dyDescent="0.3">
      <c r="A19" s="85">
        <v>44317</v>
      </c>
      <c r="B19" s="86">
        <v>911</v>
      </c>
      <c r="C19" s="87"/>
      <c r="D19" s="52">
        <f t="shared" si="27"/>
        <v>12</v>
      </c>
      <c r="E19" s="52">
        <f t="shared" si="28"/>
        <v>36.97</v>
      </c>
      <c r="F19" s="52">
        <f t="shared" si="29"/>
        <v>12.73</v>
      </c>
      <c r="G19" s="52">
        <f t="shared" si="30"/>
        <v>0</v>
      </c>
      <c r="I19" s="54">
        <f t="shared" si="31"/>
        <v>12.23</v>
      </c>
      <c r="J19" s="54">
        <f t="shared" si="32"/>
        <v>1.08</v>
      </c>
      <c r="K19" s="54">
        <f t="shared" si="33"/>
        <v>3.61</v>
      </c>
      <c r="L19" s="54">
        <v>-18</v>
      </c>
      <c r="M19" s="52">
        <f t="shared" si="34"/>
        <v>22.37</v>
      </c>
      <c r="N19" s="54">
        <v>-6</v>
      </c>
      <c r="O19" s="54">
        <f t="shared" si="35"/>
        <v>2.35</v>
      </c>
      <c r="P19" s="54">
        <f t="shared" si="9"/>
        <v>79.34</v>
      </c>
      <c r="R19" s="88">
        <f t="shared" si="10"/>
        <v>0.49995617000000003</v>
      </c>
      <c r="W19" s="89"/>
    </row>
    <row r="20" spans="1:23" s="53" customFormat="1" x14ac:dyDescent="0.3">
      <c r="A20" s="85">
        <v>44348</v>
      </c>
      <c r="B20" s="86">
        <v>1142</v>
      </c>
      <c r="C20" s="90"/>
      <c r="D20" s="52">
        <f t="shared" si="27"/>
        <v>12</v>
      </c>
      <c r="E20" s="52">
        <f>ROUND(IF(B20&lt;650,B20*$D$75,650*$D$75),2)</f>
        <v>36.97</v>
      </c>
      <c r="F20" s="52">
        <f>ROUND(IF(B20&lt;651,0,IF(B20&lt;1000,(B20-650)*$D$76,350*$D$76)),2)</f>
        <v>33.06</v>
      </c>
      <c r="G20" s="52">
        <f>ROUND(IF(B20&lt;1001,0,(B20-1000)*$D$77),2)</f>
        <v>13.88</v>
      </c>
      <c r="I20" s="54">
        <f t="shared" si="31"/>
        <v>19.02</v>
      </c>
      <c r="J20" s="54">
        <f t="shared" si="32"/>
        <v>1.67</v>
      </c>
      <c r="K20" s="54">
        <f t="shared" si="33"/>
        <v>5.61</v>
      </c>
      <c r="L20" s="54">
        <v>-18</v>
      </c>
      <c r="M20" s="52">
        <f>ROUND(B20*$G$73,2)</f>
        <v>28.67</v>
      </c>
      <c r="N20" s="54">
        <v>-6</v>
      </c>
      <c r="O20" s="54">
        <f t="shared" si="35"/>
        <v>3.88</v>
      </c>
      <c r="P20" s="54">
        <f t="shared" ref="P20:P23" si="36">SUM(D20:O20)</f>
        <v>130.76</v>
      </c>
      <c r="R20" s="88">
        <f t="shared" si="10"/>
        <v>0.69236447000000001</v>
      </c>
    </row>
    <row r="21" spans="1:23" s="53" customFormat="1" x14ac:dyDescent="0.3">
      <c r="A21" s="85">
        <v>44378</v>
      </c>
      <c r="B21" s="86">
        <v>1355</v>
      </c>
      <c r="D21" s="52">
        <f t="shared" si="27"/>
        <v>12</v>
      </c>
      <c r="E21" s="52">
        <f t="shared" ref="E21:E23" si="37">ROUND(IF(B21&lt;650,B21*$D$75,650*$D$75),2)</f>
        <v>36.97</v>
      </c>
      <c r="F21" s="52">
        <f t="shared" ref="F21:F23" si="38">ROUND(IF(B21&lt;651,0,IF(B21&lt;1000,(B21-650)*$D$76,350*$D$76)),2)</f>
        <v>33.06</v>
      </c>
      <c r="G21" s="52">
        <f t="shared" ref="G21:G23" si="39">ROUND(IF(B21&lt;1001,0,(B21-1000)*$D$77),2)</f>
        <v>34.71</v>
      </c>
      <c r="I21" s="54">
        <f t="shared" si="31"/>
        <v>23.15</v>
      </c>
      <c r="J21" s="54">
        <f t="shared" si="32"/>
        <v>2.04</v>
      </c>
      <c r="K21" s="54">
        <f t="shared" si="33"/>
        <v>6.82</v>
      </c>
      <c r="L21" s="54">
        <v>-18</v>
      </c>
      <c r="M21" s="52">
        <f t="shared" ref="M21:M23" si="40">ROUND(B21*$G$73,2)</f>
        <v>34.020000000000003</v>
      </c>
      <c r="N21" s="54">
        <v>-6</v>
      </c>
      <c r="O21" s="54">
        <f t="shared" si="35"/>
        <v>4.8600000000000003</v>
      </c>
      <c r="P21" s="54">
        <f t="shared" si="36"/>
        <v>163.63000000000002</v>
      </c>
      <c r="R21" s="88">
        <f t="shared" si="10"/>
        <v>0.85575882000000003</v>
      </c>
    </row>
    <row r="22" spans="1:23" s="53" customFormat="1" x14ac:dyDescent="0.3">
      <c r="A22" s="85">
        <v>44409</v>
      </c>
      <c r="B22" s="86">
        <v>1305</v>
      </c>
      <c r="D22" s="52">
        <f t="shared" si="27"/>
        <v>12</v>
      </c>
      <c r="E22" s="52">
        <f t="shared" si="37"/>
        <v>36.97</v>
      </c>
      <c r="F22" s="52">
        <f t="shared" si="38"/>
        <v>33.06</v>
      </c>
      <c r="G22" s="52">
        <f t="shared" si="39"/>
        <v>29.82</v>
      </c>
      <c r="I22" s="54">
        <f t="shared" si="31"/>
        <v>22.18</v>
      </c>
      <c r="J22" s="54">
        <f t="shared" si="32"/>
        <v>1.95</v>
      </c>
      <c r="K22" s="54">
        <f t="shared" si="33"/>
        <v>6.54</v>
      </c>
      <c r="L22" s="54">
        <v>-18</v>
      </c>
      <c r="M22" s="52">
        <f t="shared" si="40"/>
        <v>32.76</v>
      </c>
      <c r="N22" s="54">
        <v>-6</v>
      </c>
      <c r="O22" s="54">
        <f t="shared" si="35"/>
        <v>4.63</v>
      </c>
      <c r="P22" s="54">
        <f t="shared" si="36"/>
        <v>155.90999999999997</v>
      </c>
      <c r="R22" s="88">
        <f t="shared" si="10"/>
        <v>0.81727715999999995</v>
      </c>
    </row>
    <row r="23" spans="1:23" s="53" customFormat="1" x14ac:dyDescent="0.3">
      <c r="A23" s="85">
        <v>44440</v>
      </c>
      <c r="B23" s="86">
        <v>1002</v>
      </c>
      <c r="D23" s="52">
        <f t="shared" si="27"/>
        <v>12</v>
      </c>
      <c r="E23" s="52">
        <f t="shared" si="37"/>
        <v>36.97</v>
      </c>
      <c r="F23" s="52">
        <f t="shared" si="38"/>
        <v>33.06</v>
      </c>
      <c r="G23" s="52">
        <f t="shared" si="39"/>
        <v>0.2</v>
      </c>
      <c r="I23" s="54">
        <f t="shared" si="31"/>
        <v>16.3</v>
      </c>
      <c r="J23" s="54">
        <f t="shared" si="32"/>
        <v>1.43</v>
      </c>
      <c r="K23" s="54">
        <f t="shared" si="33"/>
        <v>4.8099999999999996</v>
      </c>
      <c r="L23" s="54">
        <v>-18</v>
      </c>
      <c r="M23" s="52">
        <f t="shared" si="40"/>
        <v>25.15</v>
      </c>
      <c r="N23" s="54">
        <v>-6</v>
      </c>
      <c r="O23" s="54">
        <f t="shared" si="35"/>
        <v>3.24</v>
      </c>
      <c r="P23" s="54">
        <f t="shared" si="36"/>
        <v>109.16000000000001</v>
      </c>
      <c r="R23" s="88">
        <f t="shared" si="10"/>
        <v>0.58486014999999991</v>
      </c>
    </row>
    <row r="24" spans="1:23" s="53" customFormat="1" x14ac:dyDescent="0.3">
      <c r="A24" s="85">
        <v>44470</v>
      </c>
      <c r="B24" s="86">
        <v>824</v>
      </c>
      <c r="D24" s="52">
        <f t="shared" si="27"/>
        <v>12</v>
      </c>
      <c r="E24" s="52">
        <f t="shared" si="28"/>
        <v>36.97</v>
      </c>
      <c r="F24" s="52">
        <f t="shared" si="29"/>
        <v>8.49</v>
      </c>
      <c r="G24" s="52">
        <f t="shared" si="30"/>
        <v>0</v>
      </c>
      <c r="I24" s="54">
        <f t="shared" si="31"/>
        <v>11.39</v>
      </c>
      <c r="J24" s="54">
        <f t="shared" si="32"/>
        <v>1</v>
      </c>
      <c r="K24" s="54">
        <f t="shared" si="33"/>
        <v>3.36</v>
      </c>
      <c r="L24" s="54">
        <v>-18</v>
      </c>
      <c r="M24" s="52">
        <f t="shared" si="34"/>
        <v>20.23</v>
      </c>
      <c r="N24" s="54">
        <v>-6</v>
      </c>
      <c r="O24" s="54">
        <f t="shared" si="35"/>
        <v>2.12</v>
      </c>
      <c r="P24" s="54">
        <f>SUM(D24:O24)</f>
        <v>71.56</v>
      </c>
      <c r="R24" s="88">
        <f t="shared" si="10"/>
        <v>0.43459842999999998</v>
      </c>
    </row>
    <row r="25" spans="1:23" s="53" customFormat="1" x14ac:dyDescent="0.3">
      <c r="A25" s="85">
        <v>44501</v>
      </c>
      <c r="B25" s="53">
        <v>812</v>
      </c>
      <c r="D25" s="52">
        <f t="shared" si="27"/>
        <v>12</v>
      </c>
      <c r="E25" s="52">
        <f t="shared" si="28"/>
        <v>36.97</v>
      </c>
      <c r="F25" s="52">
        <f t="shared" si="29"/>
        <v>7.9</v>
      </c>
      <c r="G25" s="52">
        <f t="shared" si="30"/>
        <v>0</v>
      </c>
      <c r="I25" s="54">
        <f t="shared" si="31"/>
        <v>11.28</v>
      </c>
      <c r="J25" s="54">
        <f t="shared" si="32"/>
        <v>0.99</v>
      </c>
      <c r="K25" s="54">
        <f t="shared" si="33"/>
        <v>3.32</v>
      </c>
      <c r="L25" s="54">
        <v>-18</v>
      </c>
      <c r="M25" s="52">
        <f t="shared" si="34"/>
        <v>19.940000000000001</v>
      </c>
      <c r="N25" s="54">
        <v>-6</v>
      </c>
      <c r="O25" s="54">
        <f t="shared" si="35"/>
        <v>2.09</v>
      </c>
      <c r="P25" s="54">
        <f t="shared" ref="P25:P35" si="41">SUM(D25:O25)</f>
        <v>70.489999999999981</v>
      </c>
      <c r="R25" s="88">
        <f t="shared" si="10"/>
        <v>0.42574154000000003</v>
      </c>
    </row>
    <row r="26" spans="1:23" s="53" customFormat="1" x14ac:dyDescent="0.3">
      <c r="A26" s="85">
        <v>44531</v>
      </c>
      <c r="B26" s="53">
        <v>1054</v>
      </c>
      <c r="D26" s="52">
        <f t="shared" si="27"/>
        <v>12</v>
      </c>
      <c r="E26" s="52">
        <f t="shared" si="28"/>
        <v>36.97</v>
      </c>
      <c r="F26" s="52">
        <f t="shared" si="29"/>
        <v>17.07</v>
      </c>
      <c r="G26" s="52">
        <f t="shared" si="30"/>
        <v>2.59</v>
      </c>
      <c r="I26" s="54">
        <f t="shared" si="31"/>
        <v>13.61</v>
      </c>
      <c r="J26" s="54">
        <f t="shared" si="32"/>
        <v>1.2</v>
      </c>
      <c r="K26" s="54">
        <f t="shared" si="33"/>
        <v>4.01</v>
      </c>
      <c r="L26" s="54">
        <v>-18</v>
      </c>
      <c r="M26" s="52">
        <f t="shared" si="34"/>
        <v>25.88</v>
      </c>
      <c r="N26" s="54">
        <v>-6</v>
      </c>
      <c r="O26" s="54">
        <f t="shared" si="35"/>
        <v>2.73</v>
      </c>
      <c r="P26" s="54">
        <f t="shared" si="41"/>
        <v>92.06</v>
      </c>
      <c r="R26" s="88">
        <f t="shared" si="10"/>
        <v>0.60715507999999996</v>
      </c>
    </row>
    <row r="27" spans="1:23" s="53" customFormat="1" x14ac:dyDescent="0.3">
      <c r="A27" s="85">
        <v>44562</v>
      </c>
      <c r="B27" s="53">
        <v>1098</v>
      </c>
      <c r="D27" s="52">
        <f>$D$80</f>
        <v>14</v>
      </c>
      <c r="E27" s="52">
        <f>ROUND(IF(B27&lt;650,B27*$D$81,650*$D$81),2)</f>
        <v>37.94</v>
      </c>
      <c r="F27" s="52">
        <f>ROUND(IF(B27&lt;651,0,IF(B27&lt;1000,(B27-650)*$D$82,350*$D$82)),2)</f>
        <v>17.52</v>
      </c>
      <c r="G27" s="52">
        <f>ROUND(IF(B27&lt;1001,0,(B27-1000)*$D$83),2)</f>
        <v>4.82</v>
      </c>
      <c r="I27" s="54">
        <f>ROUND(SUM(D27:G27)*$G$83,2)</f>
        <v>13.76</v>
      </c>
      <c r="J27" s="54">
        <f>ROUND(SUM(D27:G27)*$G$85,2)</f>
        <v>0.75</v>
      </c>
      <c r="K27" s="54">
        <f>ROUND(SUM(D27:G27)*$G$86,2)</f>
        <v>2.83</v>
      </c>
      <c r="L27" s="54">
        <v>-18</v>
      </c>
      <c r="M27" s="52">
        <f>ROUND(B27*$G$81,2)</f>
        <v>31.01</v>
      </c>
      <c r="N27" s="54">
        <v>-6</v>
      </c>
      <c r="O27" s="54">
        <f>ROUND(SUM(D27:N27)*$G$84,2)</f>
        <v>3.01</v>
      </c>
      <c r="P27" s="54">
        <f t="shared" si="41"/>
        <v>101.64000000000001</v>
      </c>
      <c r="R27" s="88">
        <f t="shared" si="10"/>
        <v>0.76383041000000007</v>
      </c>
    </row>
    <row r="28" spans="1:23" s="53" customFormat="1" x14ac:dyDescent="0.3">
      <c r="A28" s="85">
        <v>44593</v>
      </c>
      <c r="B28" s="53">
        <v>904</v>
      </c>
      <c r="D28" s="52">
        <f t="shared" ref="D28:D38" si="42">$D$80</f>
        <v>14</v>
      </c>
      <c r="E28" s="52">
        <f t="shared" ref="E28:E38" si="43">ROUND(IF(B28&lt;650,B28*$D$81,650*$D$81),2)</f>
        <v>37.94</v>
      </c>
      <c r="F28" s="52">
        <f t="shared" ref="F28:F38" si="44">ROUND(IF(B28&lt;651,0,IF(B28&lt;1000,(B28-650)*$D$82,350*$D$82)),2)</f>
        <v>12.72</v>
      </c>
      <c r="G28" s="52">
        <f t="shared" ref="G28:G38" si="45">ROUND(IF(B28&lt;1001,0,(B28-1000)*$D$83),2)</f>
        <v>0</v>
      </c>
      <c r="I28" s="54">
        <f t="shared" ref="I28:I38" si="46">ROUND(SUM(D28:G28)*$G$83,2)</f>
        <v>11.97</v>
      </c>
      <c r="J28" s="54">
        <f t="shared" ref="J28:J38" si="47">ROUND(SUM(D28:G28)*$G$85,2)</f>
        <v>0.65</v>
      </c>
      <c r="K28" s="54">
        <f t="shared" ref="K28:K38" si="48">ROUND(SUM(D28:G28)*$G$86,2)</f>
        <v>2.4700000000000002</v>
      </c>
      <c r="L28" s="54">
        <v>-18</v>
      </c>
      <c r="M28" s="52">
        <f t="shared" ref="M28:M38" si="49">ROUND(B28*$G$81,2)</f>
        <v>25.53</v>
      </c>
      <c r="N28" s="54">
        <v>-6</v>
      </c>
      <c r="O28" s="54">
        <f t="shared" ref="O28:O38" si="50">ROUND(SUM(D28:N28)*$G$84,2)</f>
        <v>2.48</v>
      </c>
      <c r="P28" s="54">
        <f t="shared" si="41"/>
        <v>83.76</v>
      </c>
      <c r="R28" s="88">
        <f t="shared" si="10"/>
        <v>0.59646573000000003</v>
      </c>
    </row>
    <row r="29" spans="1:23" s="53" customFormat="1" x14ac:dyDescent="0.3">
      <c r="A29" s="85">
        <v>44621</v>
      </c>
      <c r="B29" s="53">
        <v>849</v>
      </c>
      <c r="D29" s="52">
        <f t="shared" si="42"/>
        <v>14</v>
      </c>
      <c r="E29" s="52">
        <f t="shared" si="43"/>
        <v>37.94</v>
      </c>
      <c r="F29" s="52">
        <f t="shared" si="44"/>
        <v>9.9600000000000009</v>
      </c>
      <c r="G29" s="52">
        <f t="shared" si="45"/>
        <v>0</v>
      </c>
      <c r="I29" s="54">
        <f t="shared" si="46"/>
        <v>11.46</v>
      </c>
      <c r="J29" s="54">
        <f t="shared" si="47"/>
        <v>0.62</v>
      </c>
      <c r="K29" s="54">
        <f t="shared" si="48"/>
        <v>2.36</v>
      </c>
      <c r="L29" s="54">
        <v>-18</v>
      </c>
      <c r="M29" s="52">
        <f t="shared" si="49"/>
        <v>23.98</v>
      </c>
      <c r="N29" s="54">
        <v>-6</v>
      </c>
      <c r="O29" s="54">
        <f t="shared" si="50"/>
        <v>2.33</v>
      </c>
      <c r="P29" s="54">
        <f t="shared" si="41"/>
        <v>78.650000000000006</v>
      </c>
      <c r="R29" s="88">
        <f t="shared" si="10"/>
        <v>0.54912717999999994</v>
      </c>
    </row>
    <row r="30" spans="1:23" s="53" customFormat="1" x14ac:dyDescent="0.3">
      <c r="A30" s="85">
        <v>44652</v>
      </c>
      <c r="B30" s="53">
        <v>744</v>
      </c>
      <c r="D30" s="52">
        <f t="shared" si="42"/>
        <v>14</v>
      </c>
      <c r="E30" s="52">
        <f t="shared" si="43"/>
        <v>37.94</v>
      </c>
      <c r="F30" s="52">
        <f t="shared" si="44"/>
        <v>4.71</v>
      </c>
      <c r="G30" s="52">
        <f t="shared" si="45"/>
        <v>0</v>
      </c>
      <c r="I30" s="54">
        <f t="shared" si="46"/>
        <v>10.49</v>
      </c>
      <c r="J30" s="54">
        <f t="shared" si="47"/>
        <v>0.56999999999999995</v>
      </c>
      <c r="K30" s="54">
        <f t="shared" si="48"/>
        <v>2.16</v>
      </c>
      <c r="L30" s="54">
        <v>-18</v>
      </c>
      <c r="M30" s="52">
        <f t="shared" si="49"/>
        <v>21.01</v>
      </c>
      <c r="N30" s="54">
        <v>-6</v>
      </c>
      <c r="O30" s="54">
        <f t="shared" si="50"/>
        <v>2.04</v>
      </c>
      <c r="P30" s="54">
        <f t="shared" si="41"/>
        <v>68.92</v>
      </c>
      <c r="R30" s="88">
        <f t="shared" si="10"/>
        <v>0.45842041000000006</v>
      </c>
    </row>
    <row r="31" spans="1:23" s="53" customFormat="1" x14ac:dyDescent="0.3">
      <c r="A31" s="85">
        <v>44682</v>
      </c>
      <c r="B31" s="53">
        <v>911</v>
      </c>
      <c r="D31" s="52">
        <f t="shared" si="42"/>
        <v>14</v>
      </c>
      <c r="E31" s="52">
        <f t="shared" si="43"/>
        <v>37.94</v>
      </c>
      <c r="F31" s="52">
        <f t="shared" si="44"/>
        <v>13.07</v>
      </c>
      <c r="G31" s="52">
        <f t="shared" si="45"/>
        <v>0</v>
      </c>
      <c r="I31" s="54">
        <f t="shared" si="46"/>
        <v>12.04</v>
      </c>
      <c r="J31" s="54">
        <f t="shared" si="47"/>
        <v>0.65</v>
      </c>
      <c r="K31" s="54">
        <f t="shared" si="48"/>
        <v>2.48</v>
      </c>
      <c r="L31" s="54">
        <v>-18</v>
      </c>
      <c r="M31" s="52">
        <f t="shared" si="49"/>
        <v>25.73</v>
      </c>
      <c r="N31" s="54">
        <v>-6</v>
      </c>
      <c r="O31" s="54">
        <f t="shared" si="50"/>
        <v>2.5</v>
      </c>
      <c r="P31" s="54">
        <f t="shared" si="41"/>
        <v>84.41</v>
      </c>
      <c r="R31" s="88">
        <f t="shared" si="10"/>
        <v>0.60257393000000004</v>
      </c>
    </row>
    <row r="32" spans="1:23" s="53" customFormat="1" x14ac:dyDescent="0.3">
      <c r="A32" s="85">
        <v>44713</v>
      </c>
      <c r="B32" s="53">
        <v>1142</v>
      </c>
      <c r="D32" s="52">
        <f t="shared" si="42"/>
        <v>14</v>
      </c>
      <c r="E32" s="52">
        <f>ROUND(IF(B32&lt;650,B32*$D$84,650*$D$84),2)</f>
        <v>37.94</v>
      </c>
      <c r="F32" s="52">
        <f>ROUND(IF(B32&lt;651,0,IF(B32&lt;1000,(B32-650)*$D$85,350*$D$85)),2)</f>
        <v>33.93</v>
      </c>
      <c r="G32" s="52">
        <f>ROUND(IF(B32&lt;1001,0,(B32-1000)*$D$86),2)</f>
        <v>14.25</v>
      </c>
      <c r="I32" s="54">
        <f>ROUND(SUM(D32:G32)*$G$83,2)</f>
        <v>18.54</v>
      </c>
      <c r="J32" s="54">
        <f t="shared" si="47"/>
        <v>1.01</v>
      </c>
      <c r="K32" s="54">
        <f t="shared" si="48"/>
        <v>3.82</v>
      </c>
      <c r="L32" s="54">
        <v>-18</v>
      </c>
      <c r="M32" s="52">
        <f>ROUND(B32*$G$82,2)</f>
        <v>32.97</v>
      </c>
      <c r="N32" s="54">
        <v>-6</v>
      </c>
      <c r="O32" s="54">
        <f t="shared" si="50"/>
        <v>4.04</v>
      </c>
      <c r="P32" s="54">
        <f t="shared" si="41"/>
        <v>136.49999999999997</v>
      </c>
      <c r="R32" s="88">
        <f t="shared" si="10"/>
        <v>0.82369076999999991</v>
      </c>
    </row>
    <row r="33" spans="1:20" s="53" customFormat="1" x14ac:dyDescent="0.3">
      <c r="A33" s="85">
        <v>44743</v>
      </c>
      <c r="B33" s="53">
        <v>1355</v>
      </c>
      <c r="D33" s="52">
        <f t="shared" si="42"/>
        <v>14</v>
      </c>
      <c r="E33" s="52">
        <f t="shared" ref="E33:E35" si="51">ROUND(IF(B33&lt;650,B33*$D$84,650*$D$84),2)</f>
        <v>37.94</v>
      </c>
      <c r="F33" s="52">
        <f t="shared" ref="F33:F35" si="52">ROUND(IF(B33&lt;651,0,IF(B33&lt;1000,(B33-650)*$D$85,350*$D$85)),2)</f>
        <v>33.93</v>
      </c>
      <c r="G33" s="52">
        <f t="shared" ref="G33:G35" si="53">ROUND(IF(B33&lt;1001,0,(B33-1000)*$D$86),2)</f>
        <v>35.619999999999997</v>
      </c>
      <c r="I33" s="54">
        <f t="shared" ref="I33:I35" si="54">ROUND(SUM(D33:G33)*$G$83,2)</f>
        <v>22.5</v>
      </c>
      <c r="J33" s="54">
        <f t="shared" si="47"/>
        <v>1.22</v>
      </c>
      <c r="K33" s="54">
        <f t="shared" si="48"/>
        <v>4.63</v>
      </c>
      <c r="L33" s="54">
        <v>-18</v>
      </c>
      <c r="M33" s="52">
        <f t="shared" ref="M33:M35" si="55">ROUND(B33*$G$82,2)</f>
        <v>39.119999999999997</v>
      </c>
      <c r="N33" s="54">
        <v>-6</v>
      </c>
      <c r="O33" s="54">
        <f t="shared" si="50"/>
        <v>5.03</v>
      </c>
      <c r="P33" s="54">
        <f t="shared" si="41"/>
        <v>169.99</v>
      </c>
      <c r="R33" s="88">
        <f t="shared" si="10"/>
        <v>1.01151792</v>
      </c>
    </row>
    <row r="34" spans="1:20" s="53" customFormat="1" x14ac:dyDescent="0.3">
      <c r="A34" s="85">
        <v>44774</v>
      </c>
      <c r="B34" s="53">
        <v>1305</v>
      </c>
      <c r="D34" s="52">
        <f t="shared" si="42"/>
        <v>14</v>
      </c>
      <c r="E34" s="52">
        <f t="shared" si="51"/>
        <v>37.94</v>
      </c>
      <c r="F34" s="52">
        <f t="shared" si="52"/>
        <v>33.93</v>
      </c>
      <c r="G34" s="52">
        <f t="shared" si="53"/>
        <v>30.6</v>
      </c>
      <c r="I34" s="54">
        <f t="shared" si="54"/>
        <v>21.57</v>
      </c>
      <c r="J34" s="54">
        <f t="shared" si="47"/>
        <v>1.17</v>
      </c>
      <c r="K34" s="54">
        <f t="shared" si="48"/>
        <v>4.4400000000000004</v>
      </c>
      <c r="L34" s="54">
        <v>-18</v>
      </c>
      <c r="M34" s="52">
        <f t="shared" si="55"/>
        <v>37.68</v>
      </c>
      <c r="N34" s="54">
        <v>-6</v>
      </c>
      <c r="O34" s="54">
        <f t="shared" si="50"/>
        <v>4.8</v>
      </c>
      <c r="P34" s="54">
        <f t="shared" si="41"/>
        <v>162.13</v>
      </c>
      <c r="R34" s="88">
        <f t="shared" si="10"/>
        <v>0.96753887999999999</v>
      </c>
    </row>
    <row r="35" spans="1:20" s="53" customFormat="1" x14ac:dyDescent="0.3">
      <c r="A35" s="85">
        <v>44805</v>
      </c>
      <c r="B35" s="53">
        <v>1002</v>
      </c>
      <c r="D35" s="52">
        <f t="shared" si="42"/>
        <v>14</v>
      </c>
      <c r="E35" s="52">
        <f t="shared" si="51"/>
        <v>37.94</v>
      </c>
      <c r="F35" s="52">
        <f t="shared" si="52"/>
        <v>33.93</v>
      </c>
      <c r="G35" s="52">
        <f t="shared" si="53"/>
        <v>0.2</v>
      </c>
      <c r="I35" s="54">
        <f t="shared" si="54"/>
        <v>15.94</v>
      </c>
      <c r="J35" s="54">
        <f t="shared" si="47"/>
        <v>0.87</v>
      </c>
      <c r="K35" s="54">
        <f t="shared" si="48"/>
        <v>3.28</v>
      </c>
      <c r="L35" s="54">
        <v>-18</v>
      </c>
      <c r="M35" s="52">
        <f t="shared" si="55"/>
        <v>28.93</v>
      </c>
      <c r="N35" s="54">
        <v>-6</v>
      </c>
      <c r="O35" s="54">
        <f t="shared" si="50"/>
        <v>3.39</v>
      </c>
      <c r="P35" s="54">
        <f t="shared" si="41"/>
        <v>114.48</v>
      </c>
      <c r="R35" s="88">
        <f t="shared" si="10"/>
        <v>0.70030512999999994</v>
      </c>
    </row>
    <row r="36" spans="1:20" s="53" customFormat="1" x14ac:dyDescent="0.3">
      <c r="A36" s="85">
        <v>44835</v>
      </c>
      <c r="B36" s="53">
        <v>824</v>
      </c>
      <c r="D36" s="52">
        <f t="shared" si="42"/>
        <v>14</v>
      </c>
      <c r="E36" s="52">
        <f t="shared" si="43"/>
        <v>37.94</v>
      </c>
      <c r="F36" s="52">
        <f t="shared" si="44"/>
        <v>8.7100000000000009</v>
      </c>
      <c r="G36" s="52">
        <f t="shared" si="45"/>
        <v>0</v>
      </c>
      <c r="I36" s="54">
        <f t="shared" si="46"/>
        <v>11.23</v>
      </c>
      <c r="J36" s="54">
        <f t="shared" si="47"/>
        <v>0.61</v>
      </c>
      <c r="K36" s="54">
        <f t="shared" si="48"/>
        <v>2.31</v>
      </c>
      <c r="L36" s="54">
        <v>-18</v>
      </c>
      <c r="M36" s="52">
        <f t="shared" si="49"/>
        <v>23.27</v>
      </c>
      <c r="N36" s="54">
        <v>-6</v>
      </c>
      <c r="O36" s="54">
        <f t="shared" si="50"/>
        <v>2.2599999999999998</v>
      </c>
      <c r="P36" s="54">
        <f>SUM(D36:O36)</f>
        <v>76.33</v>
      </c>
      <c r="R36" s="88">
        <f t="shared" si="10"/>
        <v>0.52744307000000001</v>
      </c>
    </row>
    <row r="37" spans="1:20" s="53" customFormat="1" x14ac:dyDescent="0.3">
      <c r="A37" s="85">
        <v>44866</v>
      </c>
      <c r="B37" s="53">
        <v>812</v>
      </c>
      <c r="D37" s="52">
        <f t="shared" si="42"/>
        <v>14</v>
      </c>
      <c r="E37" s="52">
        <f t="shared" si="43"/>
        <v>37.94</v>
      </c>
      <c r="F37" s="52">
        <f t="shared" si="44"/>
        <v>8.11</v>
      </c>
      <c r="G37" s="52">
        <f t="shared" si="45"/>
        <v>0</v>
      </c>
      <c r="I37" s="54">
        <f t="shared" si="46"/>
        <v>11.12</v>
      </c>
      <c r="J37" s="54">
        <f t="shared" si="47"/>
        <v>0.6</v>
      </c>
      <c r="K37" s="54">
        <f t="shared" si="48"/>
        <v>2.29</v>
      </c>
      <c r="L37" s="54">
        <v>-18</v>
      </c>
      <c r="M37" s="52">
        <f t="shared" si="49"/>
        <v>22.93</v>
      </c>
      <c r="N37" s="54">
        <v>-6</v>
      </c>
      <c r="O37" s="54">
        <f t="shared" si="50"/>
        <v>2.23</v>
      </c>
      <c r="P37" s="54">
        <f t="shared" ref="P37:P38" si="56">SUM(D37:O37)</f>
        <v>75.220000000000013</v>
      </c>
      <c r="R37" s="88">
        <f t="shared" si="10"/>
        <v>0.51705912999999992</v>
      </c>
    </row>
    <row r="38" spans="1:20" s="53" customFormat="1" x14ac:dyDescent="0.3">
      <c r="A38" s="85">
        <v>44896</v>
      </c>
      <c r="B38" s="53">
        <v>1054</v>
      </c>
      <c r="D38" s="52">
        <f t="shared" si="42"/>
        <v>14</v>
      </c>
      <c r="E38" s="52">
        <f t="shared" si="43"/>
        <v>37.94</v>
      </c>
      <c r="F38" s="52">
        <f t="shared" si="44"/>
        <v>17.52</v>
      </c>
      <c r="G38" s="52">
        <f t="shared" si="45"/>
        <v>2.65</v>
      </c>
      <c r="I38" s="54">
        <f t="shared" si="46"/>
        <v>13.35</v>
      </c>
      <c r="J38" s="54">
        <f t="shared" si="47"/>
        <v>0.72</v>
      </c>
      <c r="K38" s="54">
        <f t="shared" si="48"/>
        <v>2.75</v>
      </c>
      <c r="L38" s="54">
        <v>-18</v>
      </c>
      <c r="M38" s="52">
        <f t="shared" si="49"/>
        <v>29.77</v>
      </c>
      <c r="N38" s="54">
        <v>-6</v>
      </c>
      <c r="O38" s="54">
        <f t="shared" si="50"/>
        <v>2.89</v>
      </c>
      <c r="P38" s="54">
        <f t="shared" si="56"/>
        <v>97.589999999999989</v>
      </c>
      <c r="R38" s="88">
        <f t="shared" si="10"/>
        <v>0.72595957</v>
      </c>
    </row>
    <row r="40" spans="1:20" x14ac:dyDescent="0.3">
      <c r="A40" s="9" t="s">
        <v>26</v>
      </c>
      <c r="B40" s="13">
        <f>SUM(B3:B38)</f>
        <v>36000</v>
      </c>
      <c r="F40" s="9" t="s">
        <v>27</v>
      </c>
      <c r="G40" s="10">
        <f>SUM(D3:G38)</f>
        <v>2703.04</v>
      </c>
      <c r="I40" s="10">
        <f>SUM(I3:I38)</f>
        <v>528.79999999999995</v>
      </c>
      <c r="J40" s="10">
        <f>SUM(J3:J38)</f>
        <v>41.429999999999986</v>
      </c>
      <c r="K40" s="10">
        <f>SUM(K3:K38)</f>
        <v>170.26</v>
      </c>
      <c r="L40" s="10">
        <f t="shared" ref="L40:N40" si="57">SUM(L3:L38)</f>
        <v>-648</v>
      </c>
      <c r="M40" s="10">
        <f t="shared" si="57"/>
        <v>947.39999999999986</v>
      </c>
      <c r="N40" s="10">
        <f t="shared" si="57"/>
        <v>-216</v>
      </c>
      <c r="O40" s="10">
        <f>SUM(O3:O38)</f>
        <v>107.74000000000004</v>
      </c>
      <c r="P40" s="10">
        <f>SUM(P3:P38)</f>
        <v>3634.67</v>
      </c>
      <c r="R40" s="15">
        <f>SUM(R3:R38)</f>
        <v>22.337687399999997</v>
      </c>
      <c r="T40" s="36"/>
    </row>
    <row r="41" spans="1:20" x14ac:dyDescent="0.3">
      <c r="B41" s="13"/>
      <c r="G41" s="10"/>
      <c r="I41" s="10"/>
      <c r="J41" s="10"/>
      <c r="K41" s="10"/>
      <c r="L41" s="10"/>
      <c r="M41" s="10"/>
      <c r="N41" s="10"/>
      <c r="O41" s="10"/>
      <c r="P41" s="10"/>
      <c r="R41" s="15"/>
    </row>
    <row r="42" spans="1:20" x14ac:dyDescent="0.3">
      <c r="B42" s="17"/>
      <c r="G42" s="10"/>
      <c r="I42" s="10"/>
      <c r="J42" s="10"/>
      <c r="K42" s="10"/>
      <c r="L42" s="10"/>
      <c r="M42" s="10"/>
      <c r="N42" s="10"/>
      <c r="O42" s="10"/>
      <c r="P42" s="10"/>
      <c r="R42" s="15"/>
    </row>
    <row r="43" spans="1:20" ht="15.6" x14ac:dyDescent="0.45">
      <c r="A43" s="18" t="s">
        <v>28</v>
      </c>
      <c r="B43" s="19"/>
      <c r="C43" s="19"/>
      <c r="D43" s="19"/>
      <c r="E43" s="19"/>
      <c r="F43" s="19"/>
      <c r="G43" s="20"/>
      <c r="I43" s="21"/>
      <c r="J43" s="22"/>
      <c r="K43" s="22"/>
      <c r="L43" s="22"/>
      <c r="M43" s="23"/>
      <c r="N43" s="23"/>
      <c r="O43" s="23"/>
    </row>
    <row r="44" spans="1:20" s="53" customFormat="1" x14ac:dyDescent="0.3">
      <c r="A44" s="93" t="s">
        <v>29</v>
      </c>
      <c r="B44" s="94"/>
      <c r="C44" s="55"/>
      <c r="D44" s="56">
        <v>10</v>
      </c>
      <c r="F44" s="57" t="s">
        <v>30</v>
      </c>
      <c r="G44" s="58"/>
      <c r="K44" s="59"/>
      <c r="L44" s="59"/>
    </row>
    <row r="45" spans="1:20" s="53" customFormat="1" x14ac:dyDescent="0.3">
      <c r="A45" s="97" t="s">
        <v>31</v>
      </c>
      <c r="B45" s="98"/>
      <c r="C45" s="55"/>
      <c r="D45" s="60">
        <v>5.6582E-2</v>
      </c>
      <c r="F45" s="61" t="s">
        <v>32</v>
      </c>
      <c r="G45" s="62">
        <v>2.8812999999999998E-2</v>
      </c>
      <c r="I45" s="54"/>
      <c r="J45" s="63"/>
      <c r="K45" s="64"/>
      <c r="L45" s="64"/>
      <c r="M45" s="54"/>
      <c r="N45" s="54"/>
      <c r="O45" s="54"/>
    </row>
    <row r="46" spans="1:20" s="53" customFormat="1" x14ac:dyDescent="0.3">
      <c r="A46" s="99" t="s">
        <v>33</v>
      </c>
      <c r="B46" s="100"/>
      <c r="D46" s="65">
        <v>4.8533E-2</v>
      </c>
      <c r="F46" s="66" t="s">
        <v>34</v>
      </c>
      <c r="G46" s="67">
        <v>3.1718000000000003E-2</v>
      </c>
    </row>
    <row r="47" spans="1:20" s="53" customFormat="1" x14ac:dyDescent="0.3">
      <c r="A47" s="95" t="s">
        <v>35</v>
      </c>
      <c r="B47" s="96"/>
      <c r="C47" s="68"/>
      <c r="D47" s="69">
        <v>4.7641000000000003E-2</v>
      </c>
      <c r="F47" s="57" t="s">
        <v>36</v>
      </c>
      <c r="G47" s="70">
        <v>0.20419399999999999</v>
      </c>
    </row>
    <row r="48" spans="1:20" s="53" customFormat="1" x14ac:dyDescent="0.3">
      <c r="A48" s="97" t="s">
        <v>37</v>
      </c>
      <c r="B48" s="98"/>
      <c r="D48" s="65">
        <v>5.6582E-2</v>
      </c>
      <c r="F48" s="71" t="s">
        <v>38</v>
      </c>
      <c r="G48" s="72">
        <v>3.0540999999999999E-2</v>
      </c>
      <c r="I48" s="73"/>
    </row>
    <row r="49" spans="1:16" s="53" customFormat="1" x14ac:dyDescent="0.3">
      <c r="A49" s="99" t="s">
        <v>39</v>
      </c>
      <c r="B49" s="100"/>
      <c r="D49" s="65">
        <v>9.3982999999999997E-2</v>
      </c>
      <c r="F49" s="66" t="s">
        <v>20</v>
      </c>
      <c r="G49" s="72">
        <v>1.8877999999999999E-2</v>
      </c>
    </row>
    <row r="50" spans="1:16" s="53" customFormat="1" x14ac:dyDescent="0.3">
      <c r="A50" s="95" t="s">
        <v>40</v>
      </c>
      <c r="B50" s="96"/>
      <c r="C50" s="68"/>
      <c r="D50" s="69">
        <v>9.7272999999999998E-2</v>
      </c>
      <c r="E50" s="68"/>
      <c r="F50" s="66" t="s">
        <v>41</v>
      </c>
      <c r="G50" s="72">
        <v>9.4596E-2</v>
      </c>
    </row>
    <row r="51" spans="1:16" x14ac:dyDescent="0.3">
      <c r="A51" s="11"/>
      <c r="B51" s="11"/>
      <c r="C51" s="11"/>
      <c r="D51" s="11"/>
      <c r="E51" s="11"/>
      <c r="H51" s="11"/>
      <c r="I51" s="11"/>
      <c r="J51" s="11"/>
      <c r="K51" s="11"/>
      <c r="L51" s="11"/>
      <c r="M51" s="11"/>
      <c r="N51" s="11"/>
      <c r="O51" s="11"/>
      <c r="P51" s="11"/>
    </row>
    <row r="52" spans="1:16" x14ac:dyDescent="0.3">
      <c r="A52" s="18" t="s">
        <v>42</v>
      </c>
      <c r="B52" s="19"/>
      <c r="C52" s="19"/>
      <c r="D52" s="19"/>
      <c r="E52" s="19"/>
      <c r="F52" s="19"/>
      <c r="G52" s="20"/>
      <c r="I52" s="10"/>
      <c r="J52" s="30"/>
      <c r="K52" s="30"/>
      <c r="L52" s="30"/>
      <c r="P52" s="10"/>
    </row>
    <row r="53" spans="1:16" x14ac:dyDescent="0.3">
      <c r="A53" s="93" t="s">
        <v>29</v>
      </c>
      <c r="B53" s="94"/>
      <c r="C53" s="55"/>
      <c r="D53" s="56">
        <v>10</v>
      </c>
      <c r="E53" s="53"/>
      <c r="F53" s="57" t="s">
        <v>43</v>
      </c>
      <c r="G53" s="58"/>
      <c r="H53" s="53"/>
      <c r="I53" s="54"/>
      <c r="J53" s="30"/>
      <c r="K53" s="30"/>
      <c r="L53" s="30"/>
      <c r="P53" s="10"/>
    </row>
    <row r="54" spans="1:16" x14ac:dyDescent="0.3">
      <c r="A54" s="74" t="s">
        <v>31</v>
      </c>
      <c r="B54" s="75"/>
      <c r="C54" s="55"/>
      <c r="D54" s="60">
        <v>5.6582E-2</v>
      </c>
      <c r="E54" s="53"/>
      <c r="F54" s="61" t="s">
        <v>32</v>
      </c>
      <c r="G54" s="62">
        <v>2.4556999999999999E-2</v>
      </c>
      <c r="H54" s="53"/>
      <c r="I54" s="54"/>
      <c r="J54" s="30"/>
      <c r="K54" s="30"/>
      <c r="L54" s="30"/>
      <c r="P54" s="10"/>
    </row>
    <row r="55" spans="1:16" x14ac:dyDescent="0.3">
      <c r="A55" s="76" t="s">
        <v>33</v>
      </c>
      <c r="B55" s="77"/>
      <c r="C55" s="53"/>
      <c r="D55" s="65">
        <v>4.8533E-2</v>
      </c>
      <c r="E55" s="53"/>
      <c r="F55" s="66" t="s">
        <v>34</v>
      </c>
      <c r="G55" s="67">
        <v>2.3375E-2</v>
      </c>
      <c r="H55" s="53"/>
      <c r="I55" s="54"/>
      <c r="J55" s="30"/>
      <c r="K55" s="30"/>
      <c r="L55" s="30"/>
      <c r="P55" s="10"/>
    </row>
    <row r="56" spans="1:16" x14ac:dyDescent="0.3">
      <c r="A56" s="78" t="s">
        <v>35</v>
      </c>
      <c r="B56" s="79"/>
      <c r="C56" s="68"/>
      <c r="D56" s="69">
        <v>4.7641000000000003E-2</v>
      </c>
      <c r="E56" s="53"/>
      <c r="F56" s="57" t="s">
        <v>36</v>
      </c>
      <c r="G56" s="70">
        <v>0.20419399999999999</v>
      </c>
      <c r="H56" s="53"/>
      <c r="I56" s="54"/>
      <c r="J56" s="30"/>
      <c r="K56" s="30"/>
      <c r="L56" s="30"/>
      <c r="P56" s="10"/>
    </row>
    <row r="57" spans="1:16" x14ac:dyDescent="0.3">
      <c r="A57" s="74" t="s">
        <v>37</v>
      </c>
      <c r="B57" s="75"/>
      <c r="C57" s="53"/>
      <c r="D57" s="65">
        <v>5.6582E-2</v>
      </c>
      <c r="E57" s="53"/>
      <c r="F57" s="71" t="s">
        <v>38</v>
      </c>
      <c r="G57" s="72">
        <f>G48</f>
        <v>3.0540999999999999E-2</v>
      </c>
      <c r="H57" s="53"/>
      <c r="I57" s="80"/>
      <c r="J57" s="30"/>
      <c r="K57" s="30"/>
      <c r="L57" s="30"/>
      <c r="P57" s="10"/>
    </row>
    <row r="58" spans="1:16" x14ac:dyDescent="0.3">
      <c r="A58" s="76" t="s">
        <v>39</v>
      </c>
      <c r="B58" s="77"/>
      <c r="C58" s="53"/>
      <c r="D58" s="65">
        <v>9.3982999999999997E-2</v>
      </c>
      <c r="E58" s="53"/>
      <c r="F58" s="66" t="s">
        <v>20</v>
      </c>
      <c r="G58" s="72">
        <v>1.8877999999999999E-2</v>
      </c>
      <c r="H58" s="53"/>
      <c r="I58" s="54"/>
      <c r="J58" s="30"/>
      <c r="K58" s="30"/>
      <c r="L58" s="30"/>
      <c r="P58" s="10"/>
    </row>
    <row r="59" spans="1:16" x14ac:dyDescent="0.3">
      <c r="A59" s="78" t="s">
        <v>40</v>
      </c>
      <c r="B59" s="79"/>
      <c r="C59" s="68"/>
      <c r="D59" s="69">
        <v>9.7272999999999998E-2</v>
      </c>
      <c r="E59" s="68"/>
      <c r="F59" s="66" t="s">
        <v>41</v>
      </c>
      <c r="G59" s="72">
        <v>9.4596E-2</v>
      </c>
      <c r="H59" s="53"/>
      <c r="I59" s="54"/>
      <c r="J59" s="30"/>
      <c r="K59" s="30"/>
      <c r="L59" s="30"/>
      <c r="P59" s="10"/>
    </row>
    <row r="60" spans="1:16" x14ac:dyDescent="0.3">
      <c r="A60" s="53"/>
      <c r="B60" s="91"/>
      <c r="C60" s="53"/>
      <c r="D60" s="52"/>
      <c r="E60" s="52"/>
      <c r="F60" s="52"/>
      <c r="G60" s="52"/>
      <c r="H60" s="53"/>
      <c r="I60" s="54"/>
      <c r="J60" s="30"/>
      <c r="K60" s="30"/>
      <c r="L60" s="30"/>
      <c r="P60" s="10"/>
    </row>
    <row r="61" spans="1:16" s="1" customFormat="1" x14ac:dyDescent="0.3">
      <c r="A61" s="18" t="s">
        <v>44</v>
      </c>
      <c r="B61" s="19"/>
      <c r="C61" s="19"/>
      <c r="D61" s="19"/>
      <c r="E61" s="19"/>
      <c r="F61" s="19"/>
      <c r="G61" s="20"/>
    </row>
    <row r="62" spans="1:16" s="1" customFormat="1" x14ac:dyDescent="0.3">
      <c r="A62" s="44" t="s">
        <v>29</v>
      </c>
      <c r="B62" s="82"/>
      <c r="C62" s="55"/>
      <c r="D62" s="56">
        <v>10</v>
      </c>
      <c r="E62" s="53"/>
      <c r="F62" s="57" t="s">
        <v>45</v>
      </c>
      <c r="G62" s="58"/>
    </row>
    <row r="63" spans="1:16" s="1" customFormat="1" x14ac:dyDescent="0.3">
      <c r="A63" s="48" t="s">
        <v>31</v>
      </c>
      <c r="B63" s="75"/>
      <c r="C63" s="55"/>
      <c r="D63" s="60">
        <v>5.6582E-2</v>
      </c>
      <c r="E63" s="53"/>
      <c r="F63" s="61" t="s">
        <v>32</v>
      </c>
      <c r="G63" s="62">
        <v>2.4556999999999999E-2</v>
      </c>
    </row>
    <row r="64" spans="1:16" s="1" customFormat="1" x14ac:dyDescent="0.3">
      <c r="A64" s="50" t="s">
        <v>33</v>
      </c>
      <c r="B64" s="77"/>
      <c r="C64" s="53"/>
      <c r="D64" s="65">
        <v>4.8533E-2</v>
      </c>
      <c r="E64" s="53"/>
      <c r="F64" s="66" t="s">
        <v>34</v>
      </c>
      <c r="G64" s="67">
        <v>2.5104000000000001E-2</v>
      </c>
    </row>
    <row r="65" spans="1:9" s="1" customFormat="1" x14ac:dyDescent="0.3">
      <c r="A65" s="46" t="s">
        <v>35</v>
      </c>
      <c r="B65" s="79"/>
      <c r="C65" s="68"/>
      <c r="D65" s="69">
        <v>4.7641000000000003E-2</v>
      </c>
      <c r="E65" s="53"/>
      <c r="F65" s="57" t="s">
        <v>36</v>
      </c>
      <c r="G65" s="70">
        <v>0.20419399999999999</v>
      </c>
    </row>
    <row r="66" spans="1:9" s="1" customFormat="1" x14ac:dyDescent="0.3">
      <c r="A66" s="48" t="s">
        <v>37</v>
      </c>
      <c r="B66" s="75"/>
      <c r="C66" s="53"/>
      <c r="D66" s="65">
        <v>5.6582E-2</v>
      </c>
      <c r="E66" s="53"/>
      <c r="F66" s="71" t="s">
        <v>38</v>
      </c>
      <c r="G66" s="72">
        <f>G57</f>
        <v>3.0540999999999999E-2</v>
      </c>
      <c r="I66" s="32"/>
    </row>
    <row r="67" spans="1:9" s="1" customFormat="1" x14ac:dyDescent="0.3">
      <c r="A67" s="50" t="s">
        <v>39</v>
      </c>
      <c r="B67" s="77"/>
      <c r="C67" s="53"/>
      <c r="D67" s="65">
        <v>9.3982999999999997E-2</v>
      </c>
      <c r="E67" s="53"/>
      <c r="F67" s="66" t="s">
        <v>20</v>
      </c>
      <c r="G67" s="72">
        <v>1.8877999999999999E-2</v>
      </c>
    </row>
    <row r="68" spans="1:9" s="1" customFormat="1" x14ac:dyDescent="0.3">
      <c r="A68" s="46" t="s">
        <v>40</v>
      </c>
      <c r="B68" s="79"/>
      <c r="C68" s="68"/>
      <c r="D68" s="69">
        <v>9.7272999999999998E-2</v>
      </c>
      <c r="E68" s="68"/>
      <c r="F68" s="66" t="s">
        <v>41</v>
      </c>
      <c r="G68" s="72">
        <v>9.4596E-2</v>
      </c>
    </row>
    <row r="69" spans="1:9" s="1" customFormat="1" x14ac:dyDescent="0.3">
      <c r="B69" s="83"/>
      <c r="C69" s="83"/>
      <c r="D69" s="83"/>
      <c r="E69" s="83"/>
      <c r="F69" s="83"/>
      <c r="G69" s="83"/>
    </row>
    <row r="70" spans="1:9" s="1" customFormat="1" x14ac:dyDescent="0.3">
      <c r="A70" s="18" t="s">
        <v>46</v>
      </c>
      <c r="B70" s="19"/>
      <c r="C70" s="19"/>
      <c r="D70" s="19"/>
      <c r="E70" s="19"/>
      <c r="F70" s="19"/>
      <c r="G70" s="20"/>
    </row>
    <row r="71" spans="1:9" s="1" customFormat="1" x14ac:dyDescent="0.3">
      <c r="A71" s="44" t="s">
        <v>29</v>
      </c>
      <c r="B71" s="82"/>
      <c r="C71" s="55"/>
      <c r="D71" s="56">
        <v>12</v>
      </c>
      <c r="E71" s="53"/>
      <c r="F71" s="57" t="s">
        <v>45</v>
      </c>
      <c r="G71" s="58"/>
    </row>
    <row r="72" spans="1:9" s="1" customFormat="1" x14ac:dyDescent="0.3">
      <c r="A72" s="48" t="s">
        <v>31</v>
      </c>
      <c r="B72" s="75"/>
      <c r="C72" s="55"/>
      <c r="D72" s="60">
        <v>5.6874000000000001E-2</v>
      </c>
      <c r="E72" s="53"/>
      <c r="F72" s="61" t="s">
        <v>32</v>
      </c>
      <c r="G72" s="62">
        <v>2.4556999999999999E-2</v>
      </c>
    </row>
    <row r="73" spans="1:9" s="1" customFormat="1" x14ac:dyDescent="0.3">
      <c r="A73" s="50" t="s">
        <v>33</v>
      </c>
      <c r="B73" s="77"/>
      <c r="C73" s="53"/>
      <c r="D73" s="65">
        <v>4.8784000000000001E-2</v>
      </c>
      <c r="E73" s="53"/>
      <c r="F73" s="66" t="s">
        <v>34</v>
      </c>
      <c r="G73" s="67">
        <v>2.5104000000000001E-2</v>
      </c>
    </row>
    <row r="74" spans="1:9" s="1" customFormat="1" x14ac:dyDescent="0.3">
      <c r="A74" s="46" t="s">
        <v>35</v>
      </c>
      <c r="B74" s="79"/>
      <c r="C74" s="68"/>
      <c r="D74" s="69">
        <v>4.7886999999999999E-2</v>
      </c>
      <c r="E74" s="53"/>
      <c r="F74" s="57" t="s">
        <v>36</v>
      </c>
      <c r="G74" s="70">
        <v>0.19827600000000001</v>
      </c>
    </row>
    <row r="75" spans="1:9" s="1" customFormat="1" x14ac:dyDescent="0.3">
      <c r="A75" s="48" t="s">
        <v>37</v>
      </c>
      <c r="B75" s="75"/>
      <c r="C75" s="53"/>
      <c r="D75" s="65">
        <v>5.6874000000000001E-2</v>
      </c>
      <c r="E75" s="53"/>
      <c r="F75" s="71" t="s">
        <v>38</v>
      </c>
      <c r="G75" s="72">
        <v>3.0584E-2</v>
      </c>
    </row>
    <row r="76" spans="1:9" s="1" customFormat="1" x14ac:dyDescent="0.3">
      <c r="A76" s="50" t="s">
        <v>39</v>
      </c>
      <c r="B76" s="77"/>
      <c r="C76" s="53"/>
      <c r="D76" s="65">
        <v>9.4467999999999996E-2</v>
      </c>
      <c r="E76" s="53"/>
      <c r="F76" s="66" t="s">
        <v>20</v>
      </c>
      <c r="G76" s="72">
        <v>1.7437999999999999E-2</v>
      </c>
    </row>
    <row r="77" spans="1:9" s="1" customFormat="1" x14ac:dyDescent="0.3">
      <c r="A77" s="46" t="s">
        <v>40</v>
      </c>
      <c r="B77" s="79"/>
      <c r="C77" s="68"/>
      <c r="D77" s="69">
        <v>9.7775000000000001E-2</v>
      </c>
      <c r="E77" s="68"/>
      <c r="F77" s="66" t="s">
        <v>41</v>
      </c>
      <c r="G77" s="72">
        <v>5.8456000000000001E-2</v>
      </c>
    </row>
    <row r="78" spans="1:9" s="1" customFormat="1" x14ac:dyDescent="0.3">
      <c r="B78" s="83"/>
      <c r="C78" s="83"/>
      <c r="D78" s="83"/>
      <c r="E78" s="83"/>
      <c r="F78" s="83"/>
      <c r="G78" s="83"/>
    </row>
    <row r="79" spans="1:9" s="1" customFormat="1" x14ac:dyDescent="0.3">
      <c r="A79" s="18" t="s">
        <v>47</v>
      </c>
      <c r="B79" s="19"/>
      <c r="C79" s="19"/>
      <c r="D79" s="19"/>
      <c r="E79" s="19"/>
      <c r="F79" s="19"/>
      <c r="G79" s="20"/>
    </row>
    <row r="80" spans="1:9" s="1" customFormat="1" x14ac:dyDescent="0.3">
      <c r="A80" s="44" t="s">
        <v>29</v>
      </c>
      <c r="B80" s="82"/>
      <c r="C80" s="55"/>
      <c r="D80" s="56">
        <v>14</v>
      </c>
      <c r="E80" s="53"/>
      <c r="F80" s="57" t="s">
        <v>48</v>
      </c>
      <c r="G80" s="58"/>
    </row>
    <row r="81" spans="1:7" s="1" customFormat="1" x14ac:dyDescent="0.3">
      <c r="A81" s="48" t="s">
        <v>31</v>
      </c>
      <c r="B81" s="75"/>
      <c r="C81" s="55"/>
      <c r="D81" s="60">
        <v>5.8366000000000001E-2</v>
      </c>
      <c r="E81" s="53"/>
      <c r="F81" s="61" t="s">
        <v>32</v>
      </c>
      <c r="G81" s="62">
        <v>2.8240999999999999E-2</v>
      </c>
    </row>
    <row r="82" spans="1:7" s="1" customFormat="1" x14ac:dyDescent="0.3">
      <c r="A82" s="50" t="s">
        <v>33</v>
      </c>
      <c r="B82" s="77"/>
      <c r="C82" s="53"/>
      <c r="D82" s="65">
        <v>5.0061999999999995E-2</v>
      </c>
      <c r="E82" s="53"/>
      <c r="F82" s="66" t="s">
        <v>34</v>
      </c>
      <c r="G82" s="67">
        <v>2.887E-2</v>
      </c>
    </row>
    <row r="83" spans="1:7" s="1" customFormat="1" x14ac:dyDescent="0.3">
      <c r="A83" s="46" t="s">
        <v>35</v>
      </c>
      <c r="B83" s="79"/>
      <c r="C83" s="68"/>
      <c r="D83" s="69">
        <v>4.9142999999999999E-2</v>
      </c>
      <c r="E83" s="53"/>
      <c r="F83" s="57" t="s">
        <v>36</v>
      </c>
      <c r="G83" s="70">
        <v>0.18517900000000001</v>
      </c>
    </row>
    <row r="84" spans="1:7" s="1" customFormat="1" x14ac:dyDescent="0.3">
      <c r="A84" s="48" t="s">
        <v>37</v>
      </c>
      <c r="B84" s="75"/>
      <c r="C84" s="53"/>
      <c r="D84" s="65">
        <v>5.8366000000000001E-2</v>
      </c>
      <c r="E84" s="53"/>
      <c r="F84" s="71" t="s">
        <v>38</v>
      </c>
      <c r="G84" s="72">
        <v>3.0487E-2</v>
      </c>
    </row>
    <row r="85" spans="1:7" s="1" customFormat="1" x14ac:dyDescent="0.3">
      <c r="A85" s="50" t="s">
        <v>39</v>
      </c>
      <c r="B85" s="77"/>
      <c r="C85" s="53"/>
      <c r="D85" s="65">
        <v>9.6943000000000001E-2</v>
      </c>
      <c r="E85" s="53"/>
      <c r="F85" s="66" t="s">
        <v>20</v>
      </c>
      <c r="G85" s="72">
        <v>1.0052999999999999E-2</v>
      </c>
    </row>
    <row r="86" spans="1:7" s="1" customFormat="1" x14ac:dyDescent="0.3">
      <c r="A86" s="46" t="s">
        <v>40</v>
      </c>
      <c r="B86" s="79"/>
      <c r="C86" s="68"/>
      <c r="D86" s="69">
        <v>0.10033599999999999</v>
      </c>
      <c r="E86" s="68"/>
      <c r="F86" s="66" t="s">
        <v>41</v>
      </c>
      <c r="G86" s="72">
        <v>3.8129999999999997E-2</v>
      </c>
    </row>
    <row r="87" spans="1:7" s="1" customFormat="1" x14ac:dyDescent="0.3">
      <c r="B87" s="83"/>
      <c r="C87" s="83"/>
      <c r="D87" s="83"/>
      <c r="E87" s="83"/>
      <c r="F87" s="83"/>
      <c r="G87" s="83"/>
    </row>
    <row r="88" spans="1:7" customFormat="1" ht="13.2" x14ac:dyDescent="0.25"/>
    <row r="89" spans="1:7" customFormat="1" ht="13.2" x14ac:dyDescent="0.25"/>
    <row r="90" spans="1:7" customFormat="1" ht="13.2" x14ac:dyDescent="0.25"/>
    <row r="91" spans="1:7" customFormat="1" ht="13.2" x14ac:dyDescent="0.25"/>
    <row r="92" spans="1:7" customFormat="1" ht="13.2" x14ac:dyDescent="0.25"/>
    <row r="93" spans="1:7" customFormat="1" ht="13.2" x14ac:dyDescent="0.25"/>
    <row r="94" spans="1:7" customFormat="1" ht="13.2" x14ac:dyDescent="0.25"/>
    <row r="95" spans="1:7" customFormat="1" ht="13.2" x14ac:dyDescent="0.25"/>
  </sheetData>
  <mergeCells count="8">
    <mergeCell ref="A50:B50"/>
    <mergeCell ref="A53:B53"/>
    <mergeCell ref="A44:B44"/>
    <mergeCell ref="A45:B45"/>
    <mergeCell ref="A46:B46"/>
    <mergeCell ref="A47:B47"/>
    <mergeCell ref="A48:B48"/>
    <mergeCell ref="A49:B49"/>
  </mergeCells>
  <pageMargins left="0.75" right="0.75" top="1.25" bottom="1" header="0.8" footer="0.8"/>
  <pageSetup scale="63" orientation="landscape" r:id="rId1"/>
  <headerFooter alignWithMargins="0">
    <oddHeader>&amp;R&amp;12MFRH 1.1
Docket No. 44902</oddHeader>
    <oddFooter>&amp;RPage &amp;P of &amp;N</oddFooter>
  </headerFooter>
  <rowBreaks count="1" manualBreakCount="1">
    <brk id="41" max="1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F2BF65-EBB7-4A11-BAC5-E23919C92945}">
  <sheetPr>
    <tabColor indexed="43"/>
  </sheetPr>
  <dimension ref="A1:W98"/>
  <sheetViews>
    <sheetView zoomScaleNormal="100" zoomScaleSheetLayoutView="75" workbookViewId="0">
      <selection activeCell="E80" sqref="E80:H86"/>
    </sheetView>
  </sheetViews>
  <sheetFormatPr defaultColWidth="9.109375" defaultRowHeight="13.8" x14ac:dyDescent="0.3"/>
  <cols>
    <col min="1" max="1" width="14.88671875" style="9" customWidth="1"/>
    <col min="2" max="2" width="9.109375" style="9" customWidth="1"/>
    <col min="3" max="3" width="9.88671875" style="9" customWidth="1"/>
    <col min="4" max="4" width="11.5546875" style="9" bestFit="1" customWidth="1"/>
    <col min="5" max="5" width="13.6640625" style="9" bestFit="1" customWidth="1"/>
    <col min="6" max="6" width="10.6640625" style="9" bestFit="1" customWidth="1"/>
    <col min="7" max="7" width="15.33203125" style="9" customWidth="1"/>
    <col min="8" max="8" width="2.5546875" style="9" customWidth="1"/>
    <col min="9" max="9" width="8.5546875" style="9" bestFit="1" customWidth="1"/>
    <col min="10" max="10" width="13" style="9" customWidth="1"/>
    <col min="11" max="11" width="11.6640625" style="9" customWidth="1"/>
    <col min="12" max="12" width="9.33203125" style="9" bestFit="1" customWidth="1"/>
    <col min="13" max="13" width="9.33203125" style="9" customWidth="1"/>
    <col min="14" max="16" width="11.88671875" style="9" customWidth="1"/>
    <col min="17" max="17" width="2.5546875" style="9" customWidth="1"/>
    <col min="18" max="18" width="6.5546875" style="9" bestFit="1" customWidth="1"/>
    <col min="19" max="19" width="9.6640625" style="9" bestFit="1" customWidth="1"/>
    <col min="20" max="16384" width="9.109375" style="9"/>
  </cols>
  <sheetData>
    <row r="1" spans="1:23" ht="18" x14ac:dyDescent="0.35">
      <c r="A1" s="8" t="s">
        <v>49</v>
      </c>
      <c r="J1" s="10"/>
      <c r="K1" s="10"/>
      <c r="L1" s="10"/>
      <c r="O1" s="10"/>
      <c r="Q1" s="10"/>
      <c r="T1" s="10"/>
    </row>
    <row r="2" spans="1:23" s="11" customFormat="1" ht="27.6" x14ac:dyDescent="0.3">
      <c r="A2" s="11" t="s">
        <v>13</v>
      </c>
      <c r="B2" s="11" t="s">
        <v>14</v>
      </c>
      <c r="D2" s="11" t="s">
        <v>15</v>
      </c>
      <c r="E2" s="11" t="s">
        <v>16</v>
      </c>
      <c r="F2" s="11" t="s">
        <v>17</v>
      </c>
      <c r="G2" s="11" t="s">
        <v>18</v>
      </c>
      <c r="I2" s="11" t="s">
        <v>19</v>
      </c>
      <c r="J2" s="11" t="s">
        <v>20</v>
      </c>
      <c r="K2" s="11" t="s">
        <v>21</v>
      </c>
      <c r="L2" s="11" t="s">
        <v>50</v>
      </c>
      <c r="M2" s="11" t="s">
        <v>22</v>
      </c>
      <c r="N2" s="11" t="s">
        <v>51</v>
      </c>
      <c r="O2" s="11" t="s">
        <v>23</v>
      </c>
      <c r="P2" s="11" t="s">
        <v>24</v>
      </c>
      <c r="R2" s="12" t="s">
        <v>25</v>
      </c>
    </row>
    <row r="3" spans="1:23" x14ac:dyDescent="0.3">
      <c r="A3" s="34">
        <f>'Hist - Inside'!A3</f>
        <v>43831</v>
      </c>
      <c r="B3" s="13">
        <v>1098</v>
      </c>
      <c r="C3" s="14"/>
      <c r="D3" s="52">
        <f>$D$44</f>
        <v>10</v>
      </c>
      <c r="E3" s="52">
        <f>ROUND(IF(B3&lt;650,B3*$D$45,650*$D$45),2)</f>
        <v>36.78</v>
      </c>
      <c r="F3" s="52">
        <f>ROUND(IF(B3&lt;651,0,IF(B3&lt;1000,(B3-650)*$D$46,350*$D$46)),2)</f>
        <v>16.989999999999998</v>
      </c>
      <c r="G3" s="52">
        <f>ROUND(IF(B3&lt;1001,0,(B3-1000)*$D$47),2)</f>
        <v>4.67</v>
      </c>
      <c r="H3" s="53"/>
      <c r="I3" s="54">
        <f>ROUND(SUM(D3:G3)*$G$47,2)</f>
        <v>13.98</v>
      </c>
      <c r="J3" s="54">
        <f>ROUND(SUM(D3:G3)*$G$49,2)</f>
        <v>1.29</v>
      </c>
      <c r="K3" s="54">
        <f>ROUND(SUM(D3:G3)*$G$50,2)</f>
        <v>6.47</v>
      </c>
      <c r="L3" s="54">
        <v>-18</v>
      </c>
      <c r="M3" s="52">
        <f>ROUND(B3*$G$45,2)</f>
        <v>31.64</v>
      </c>
      <c r="N3" s="54">
        <v>-6</v>
      </c>
      <c r="O3" s="54">
        <f>ROUND(SUM(D3:N3)*$G$48,2)</f>
        <v>1.1499999999999999</v>
      </c>
      <c r="P3" s="54">
        <f>SUM(D3:O3)</f>
        <v>98.970000000000013</v>
      </c>
      <c r="Q3" s="53"/>
      <c r="R3" s="88">
        <f>(M3+N3)*$G$48</f>
        <v>0.30268020000000001</v>
      </c>
      <c r="S3" s="53"/>
    </row>
    <row r="4" spans="1:23" x14ac:dyDescent="0.3">
      <c r="A4" s="34">
        <f>'Hist - Inside'!A4</f>
        <v>43862</v>
      </c>
      <c r="B4" s="13">
        <v>904</v>
      </c>
      <c r="C4" s="14"/>
      <c r="D4" s="52">
        <f t="shared" ref="D4:D7" si="0">$D$44</f>
        <v>10</v>
      </c>
      <c r="E4" s="52">
        <f t="shared" ref="E4:E7" si="1">ROUND(IF(B4&lt;650,B4*$D$45,650*$D$45),2)</f>
        <v>36.78</v>
      </c>
      <c r="F4" s="52">
        <f t="shared" ref="F4:F7" si="2">ROUND(IF(B4&lt;651,0,IF(B4&lt;1000,(B4-650)*$D$46,350*$D$46)),2)</f>
        <v>12.33</v>
      </c>
      <c r="G4" s="52">
        <f t="shared" ref="G4:G7" si="3">ROUND(IF(B4&lt;1001,0,(B4-1000)*$D$47),2)</f>
        <v>0</v>
      </c>
      <c r="H4" s="53"/>
      <c r="I4" s="54">
        <f t="shared" ref="I4:I7" si="4">ROUND(SUM(D4:G4)*$G$47,2)</f>
        <v>12.07</v>
      </c>
      <c r="J4" s="54">
        <f t="shared" ref="J4:J7" si="5">ROUND(SUM(D4:G4)*$G$49,2)</f>
        <v>1.1200000000000001</v>
      </c>
      <c r="K4" s="54">
        <f t="shared" ref="K4:K7" si="6">ROUND(SUM(D4:G4)*$G$50,2)</f>
        <v>5.59</v>
      </c>
      <c r="L4" s="54">
        <v>-18</v>
      </c>
      <c r="M4" s="52">
        <f t="shared" ref="M4:M7" si="7">ROUND(B4*$G$45,2)</f>
        <v>26.05</v>
      </c>
      <c r="N4" s="54">
        <v>-6</v>
      </c>
      <c r="O4" s="54">
        <f t="shared" ref="O4:O14" si="8">ROUND(SUM(D4:N4)*$G$48,2)</f>
        <v>0.94</v>
      </c>
      <c r="P4" s="54">
        <f t="shared" ref="P4:P23" si="9">SUM(D4:O4)</f>
        <v>80.88000000000001</v>
      </c>
      <c r="Q4" s="53"/>
      <c r="R4" s="88">
        <f t="shared" ref="R4:R38" si="10">(M4+N4)*$G$48</f>
        <v>0.23669024999999999</v>
      </c>
      <c r="S4" s="53"/>
    </row>
    <row r="5" spans="1:23" x14ac:dyDescent="0.3">
      <c r="A5" s="34">
        <f>'Hist - Inside'!A5</f>
        <v>43891</v>
      </c>
      <c r="B5" s="13">
        <v>849</v>
      </c>
      <c r="C5" s="14"/>
      <c r="D5" s="52">
        <f t="shared" si="0"/>
        <v>10</v>
      </c>
      <c r="E5" s="52">
        <f t="shared" si="1"/>
        <v>36.78</v>
      </c>
      <c r="F5" s="52">
        <f t="shared" si="2"/>
        <v>9.66</v>
      </c>
      <c r="G5" s="52">
        <f t="shared" si="3"/>
        <v>0</v>
      </c>
      <c r="H5" s="53"/>
      <c r="I5" s="54">
        <f t="shared" si="4"/>
        <v>11.52</v>
      </c>
      <c r="J5" s="54">
        <f t="shared" si="5"/>
        <v>1.07</v>
      </c>
      <c r="K5" s="54">
        <f t="shared" si="6"/>
        <v>5.34</v>
      </c>
      <c r="L5" s="54">
        <v>-18</v>
      </c>
      <c r="M5" s="52">
        <f t="shared" si="7"/>
        <v>24.46</v>
      </c>
      <c r="N5" s="54">
        <v>-6</v>
      </c>
      <c r="O5" s="54">
        <f t="shared" si="8"/>
        <v>0.88</v>
      </c>
      <c r="P5" s="54">
        <f t="shared" si="9"/>
        <v>75.70999999999998</v>
      </c>
      <c r="Q5" s="53"/>
      <c r="R5" s="88">
        <f t="shared" si="10"/>
        <v>0.21792030000000001</v>
      </c>
      <c r="S5" s="53"/>
    </row>
    <row r="6" spans="1:23" x14ac:dyDescent="0.3">
      <c r="A6" s="34">
        <f>'Hist - Inside'!A6</f>
        <v>43922</v>
      </c>
      <c r="B6" s="13">
        <v>744</v>
      </c>
      <c r="C6" s="14"/>
      <c r="D6" s="52">
        <f t="shared" si="0"/>
        <v>10</v>
      </c>
      <c r="E6" s="52">
        <f t="shared" si="1"/>
        <v>36.78</v>
      </c>
      <c r="F6" s="52">
        <f t="shared" si="2"/>
        <v>4.5599999999999996</v>
      </c>
      <c r="G6" s="52">
        <f t="shared" si="3"/>
        <v>0</v>
      </c>
      <c r="H6" s="53"/>
      <c r="I6" s="54">
        <f t="shared" si="4"/>
        <v>10.48</v>
      </c>
      <c r="J6" s="54">
        <f t="shared" si="5"/>
        <v>0.97</v>
      </c>
      <c r="K6" s="54">
        <f t="shared" si="6"/>
        <v>4.8600000000000003</v>
      </c>
      <c r="L6" s="54">
        <v>-18</v>
      </c>
      <c r="M6" s="52">
        <f>ROUND(B6*$G$45,2)</f>
        <v>21.44</v>
      </c>
      <c r="N6" s="54">
        <v>-6</v>
      </c>
      <c r="O6" s="54">
        <f t="shared" si="8"/>
        <v>0.77</v>
      </c>
      <c r="P6" s="54">
        <f t="shared" si="9"/>
        <v>65.86</v>
      </c>
      <c r="Q6" s="53"/>
      <c r="R6" s="88">
        <f t="shared" si="10"/>
        <v>0.18226920000000002</v>
      </c>
      <c r="S6" s="53"/>
    </row>
    <row r="7" spans="1:23" x14ac:dyDescent="0.3">
      <c r="A7" s="34">
        <f>'Hist - Inside'!A7</f>
        <v>43952</v>
      </c>
      <c r="B7" s="13">
        <v>911</v>
      </c>
      <c r="C7" s="14"/>
      <c r="D7" s="52">
        <f t="shared" si="0"/>
        <v>10</v>
      </c>
      <c r="E7" s="52">
        <f t="shared" si="1"/>
        <v>36.78</v>
      </c>
      <c r="F7" s="52">
        <f t="shared" si="2"/>
        <v>12.67</v>
      </c>
      <c r="G7" s="52">
        <f t="shared" si="3"/>
        <v>0</v>
      </c>
      <c r="H7" s="53"/>
      <c r="I7" s="54">
        <f t="shared" si="4"/>
        <v>12.14</v>
      </c>
      <c r="J7" s="54">
        <f t="shared" si="5"/>
        <v>1.1200000000000001</v>
      </c>
      <c r="K7" s="54">
        <f t="shared" si="6"/>
        <v>5.62</v>
      </c>
      <c r="L7" s="54">
        <v>-18</v>
      </c>
      <c r="M7" s="52">
        <f t="shared" si="7"/>
        <v>26.25</v>
      </c>
      <c r="N7" s="54">
        <v>-6</v>
      </c>
      <c r="O7" s="54">
        <f t="shared" si="8"/>
        <v>0.95</v>
      </c>
      <c r="P7" s="54">
        <f t="shared" si="9"/>
        <v>81.530000000000015</v>
      </c>
      <c r="Q7" s="53"/>
      <c r="R7" s="88">
        <f t="shared" si="10"/>
        <v>0.23905124999999999</v>
      </c>
      <c r="S7" s="53"/>
    </row>
    <row r="8" spans="1:23" x14ac:dyDescent="0.3">
      <c r="A8" s="34">
        <f>'Hist - Inside'!A8</f>
        <v>43983</v>
      </c>
      <c r="B8" s="13">
        <v>1142</v>
      </c>
      <c r="C8" s="14"/>
      <c r="D8" s="52">
        <f>$D$53</f>
        <v>10</v>
      </c>
      <c r="E8" s="52">
        <f>ROUND(IF(B8&lt;650,B8*$D$57,650*$D$57),2)</f>
        <v>36.78</v>
      </c>
      <c r="F8" s="52">
        <f>ROUND(IF(B8&lt;651,0,IF(B8&lt;1000,(B8-650)*$D$58,350*$D$58)),2)</f>
        <v>32.89</v>
      </c>
      <c r="G8" s="52">
        <f>ROUND(IF(B8&lt;1001,0,(B8-1000)*$D$59),2)</f>
        <v>13.81</v>
      </c>
      <c r="H8" s="53"/>
      <c r="I8" s="54">
        <f>ROUND(SUM(D8:G8)*$G$56,2)</f>
        <v>19.09</v>
      </c>
      <c r="J8" s="54">
        <f>ROUND(SUM(D8:G8)*$G$58,2)</f>
        <v>1.76</v>
      </c>
      <c r="K8" s="54">
        <f>ROUND(SUM(D8:G8)*$G$59,2)</f>
        <v>8.84</v>
      </c>
      <c r="L8" s="54">
        <v>-18</v>
      </c>
      <c r="M8" s="52">
        <f>ROUND(B8*$G$55,2)</f>
        <v>26.69</v>
      </c>
      <c r="N8" s="54">
        <v>-6</v>
      </c>
      <c r="O8" s="54">
        <f t="shared" si="8"/>
        <v>1.49</v>
      </c>
      <c r="P8" s="54">
        <f t="shared" si="9"/>
        <v>127.35000000000001</v>
      </c>
      <c r="Q8" s="53"/>
      <c r="R8" s="88">
        <f t="shared" si="10"/>
        <v>0.24424545</v>
      </c>
      <c r="S8" s="53"/>
    </row>
    <row r="9" spans="1:23" x14ac:dyDescent="0.3">
      <c r="A9" s="34">
        <f>'Hist - Inside'!A9</f>
        <v>44013</v>
      </c>
      <c r="B9" s="13">
        <v>1355</v>
      </c>
      <c r="C9" s="14"/>
      <c r="D9" s="52">
        <f t="shared" ref="D9:D11" si="11">$D$53</f>
        <v>10</v>
      </c>
      <c r="E9" s="52">
        <f t="shared" ref="E9:E11" si="12">ROUND(IF(B9&lt;650,B9*$D$57,650*$D$57),2)</f>
        <v>36.78</v>
      </c>
      <c r="F9" s="52">
        <f t="shared" ref="F9:F11" si="13">ROUND(IF(B9&lt;651,0,IF(B9&lt;1000,(B9-650)*$D$58,350*$D$58)),2)</f>
        <v>32.89</v>
      </c>
      <c r="G9" s="52">
        <f t="shared" ref="G9:G11" si="14">ROUND(IF(B9&lt;1001,0,(B9-1000)*$D$59),2)</f>
        <v>34.53</v>
      </c>
      <c r="H9" s="53"/>
      <c r="I9" s="54">
        <f t="shared" ref="I9:I11" si="15">ROUND(SUM(D9:G9)*$G$56,2)</f>
        <v>23.32</v>
      </c>
      <c r="J9" s="54">
        <f t="shared" ref="J9:J11" si="16">ROUND(SUM(D9:G9)*$G$58,2)</f>
        <v>2.16</v>
      </c>
      <c r="K9" s="54">
        <f t="shared" ref="K9:K11" si="17">ROUND(SUM(D9:G9)*$G$59,2)</f>
        <v>10.8</v>
      </c>
      <c r="L9" s="54">
        <v>-18</v>
      </c>
      <c r="M9" s="52">
        <f t="shared" ref="M9:M11" si="18">ROUND(B9*$G$55,2)</f>
        <v>31.67</v>
      </c>
      <c r="N9" s="54">
        <v>-6</v>
      </c>
      <c r="O9" s="54">
        <f t="shared" si="8"/>
        <v>1.87</v>
      </c>
      <c r="P9" s="54">
        <f t="shared" si="9"/>
        <v>160.02000000000004</v>
      </c>
      <c r="Q9" s="53"/>
      <c r="R9" s="88">
        <f t="shared" si="10"/>
        <v>0.30303435000000001</v>
      </c>
      <c r="S9" s="53"/>
    </row>
    <row r="10" spans="1:23" x14ac:dyDescent="0.3">
      <c r="A10" s="34">
        <f>'Hist - Inside'!A10</f>
        <v>44044</v>
      </c>
      <c r="B10" s="13">
        <v>1305</v>
      </c>
      <c r="C10" s="14"/>
      <c r="D10" s="52">
        <f t="shared" si="11"/>
        <v>10</v>
      </c>
      <c r="E10" s="52">
        <f t="shared" si="12"/>
        <v>36.78</v>
      </c>
      <c r="F10" s="52">
        <f t="shared" si="13"/>
        <v>32.89</v>
      </c>
      <c r="G10" s="52">
        <f t="shared" si="14"/>
        <v>29.67</v>
      </c>
      <c r="H10" s="53"/>
      <c r="I10" s="54">
        <f t="shared" si="15"/>
        <v>22.33</v>
      </c>
      <c r="J10" s="54">
        <f t="shared" si="16"/>
        <v>2.06</v>
      </c>
      <c r="K10" s="54">
        <f t="shared" si="17"/>
        <v>10.34</v>
      </c>
      <c r="L10" s="54">
        <v>-18</v>
      </c>
      <c r="M10" s="52">
        <f t="shared" si="18"/>
        <v>30.5</v>
      </c>
      <c r="N10" s="54">
        <v>-6</v>
      </c>
      <c r="O10" s="54">
        <f t="shared" si="8"/>
        <v>1.78</v>
      </c>
      <c r="P10" s="54">
        <f t="shared" si="9"/>
        <v>152.35000000000002</v>
      </c>
      <c r="Q10" s="53"/>
      <c r="R10" s="88">
        <f t="shared" si="10"/>
        <v>0.28922249999999999</v>
      </c>
      <c r="S10" s="53"/>
    </row>
    <row r="11" spans="1:23" x14ac:dyDescent="0.3">
      <c r="A11" s="34">
        <f>'Hist - Inside'!A11</f>
        <v>44075</v>
      </c>
      <c r="B11" s="13">
        <v>1002</v>
      </c>
      <c r="C11" s="14"/>
      <c r="D11" s="52">
        <f t="shared" si="11"/>
        <v>10</v>
      </c>
      <c r="E11" s="52">
        <f t="shared" si="12"/>
        <v>36.78</v>
      </c>
      <c r="F11" s="52">
        <f t="shared" si="13"/>
        <v>32.89</v>
      </c>
      <c r="G11" s="52">
        <f t="shared" si="14"/>
        <v>0.19</v>
      </c>
      <c r="H11" s="53"/>
      <c r="I11" s="54">
        <f t="shared" si="15"/>
        <v>16.309999999999999</v>
      </c>
      <c r="J11" s="54">
        <f t="shared" si="16"/>
        <v>1.51</v>
      </c>
      <c r="K11" s="54">
        <f t="shared" si="17"/>
        <v>7.55</v>
      </c>
      <c r="L11" s="54">
        <v>-18</v>
      </c>
      <c r="M11" s="52">
        <f t="shared" si="18"/>
        <v>23.42</v>
      </c>
      <c r="N11" s="54">
        <v>-6</v>
      </c>
      <c r="O11" s="54">
        <f t="shared" si="8"/>
        <v>1.24</v>
      </c>
      <c r="P11" s="54">
        <f t="shared" si="9"/>
        <v>105.89</v>
      </c>
      <c r="Q11" s="53"/>
      <c r="R11" s="88">
        <f t="shared" si="10"/>
        <v>0.20564310000000002</v>
      </c>
      <c r="S11" s="53"/>
    </row>
    <row r="12" spans="1:23" x14ac:dyDescent="0.3">
      <c r="A12" s="34">
        <f>'Hist - Inside'!A12</f>
        <v>44105</v>
      </c>
      <c r="B12" s="13">
        <v>824</v>
      </c>
      <c r="C12" s="14"/>
      <c r="D12" s="52">
        <f>$D$62</f>
        <v>10</v>
      </c>
      <c r="E12" s="52">
        <f>ROUND(IF(B12&lt;650,B12*$D$63,650*$D$63),2)</f>
        <v>36.78</v>
      </c>
      <c r="F12" s="52">
        <f>ROUND(IF(B12&lt;651,0,IF(B12&lt;1000,(B12-650)*$D$64,350*$D$64)),2)</f>
        <v>8.44</v>
      </c>
      <c r="G12" s="52">
        <f>ROUND(IF(B12&lt;1001,0,(B12-1000)*$D$65),2)</f>
        <v>0</v>
      </c>
      <c r="H12" s="53"/>
      <c r="I12" s="54">
        <f>ROUND(SUM(D12:G12)*$G$65,2)</f>
        <v>11.28</v>
      </c>
      <c r="J12" s="54">
        <f>ROUND(SUM(D12:G12)*$G$67,2)</f>
        <v>1.04</v>
      </c>
      <c r="K12" s="54">
        <f>ROUND(SUM(D12:G12)*$G$68,2)</f>
        <v>5.22</v>
      </c>
      <c r="L12" s="54">
        <v>-18</v>
      </c>
      <c r="M12" s="52">
        <f>ROUND(B12*$G$63,2)</f>
        <v>20.23</v>
      </c>
      <c r="N12" s="54">
        <v>-6</v>
      </c>
      <c r="O12" s="54">
        <f t="shared" si="8"/>
        <v>0.81</v>
      </c>
      <c r="P12" s="54">
        <f>SUM(D12:O12)</f>
        <v>69.800000000000011</v>
      </c>
      <c r="Q12" s="53"/>
      <c r="R12" s="88">
        <f t="shared" si="10"/>
        <v>0.16798515</v>
      </c>
      <c r="S12" s="53"/>
    </row>
    <row r="13" spans="1:23" x14ac:dyDescent="0.3">
      <c r="A13" s="34">
        <f>'Hist - Inside'!A13</f>
        <v>44136</v>
      </c>
      <c r="B13" s="13">
        <v>812</v>
      </c>
      <c r="C13" s="14"/>
      <c r="D13" s="52">
        <f t="shared" ref="D13:D14" si="19">$D$62</f>
        <v>10</v>
      </c>
      <c r="E13" s="52">
        <f t="shared" ref="E13:E14" si="20">ROUND(IF(B13&lt;650,B13*$D$63,650*$D$63),2)</f>
        <v>36.78</v>
      </c>
      <c r="F13" s="52">
        <f t="shared" ref="F13:F14" si="21">ROUND(IF(B13&lt;651,0,IF(B13&lt;1000,(B13-650)*$D$64,350*$D$64)),2)</f>
        <v>7.86</v>
      </c>
      <c r="G13" s="52">
        <f t="shared" ref="G13:G14" si="22">ROUND(IF(B13&lt;1001,0,(B13-1000)*$D$65),2)</f>
        <v>0</v>
      </c>
      <c r="H13" s="53"/>
      <c r="I13" s="54">
        <f t="shared" ref="I13:I14" si="23">ROUND(SUM(D13:G13)*$G$65,2)</f>
        <v>11.16</v>
      </c>
      <c r="J13" s="54">
        <f t="shared" ref="J13:J14" si="24">ROUND(SUM(D13:G13)*$G$67,2)</f>
        <v>1.03</v>
      </c>
      <c r="K13" s="54">
        <f t="shared" ref="K13:K14" si="25">ROUND(SUM(D13:G13)*$G$68,2)</f>
        <v>5.17</v>
      </c>
      <c r="L13" s="54">
        <v>-18</v>
      </c>
      <c r="M13" s="52">
        <f t="shared" ref="M13:M14" si="26">ROUND(B13*$G$63,2)</f>
        <v>19.940000000000001</v>
      </c>
      <c r="N13" s="54">
        <v>-6</v>
      </c>
      <c r="O13" s="54">
        <f t="shared" si="8"/>
        <v>0.8</v>
      </c>
      <c r="P13" s="54">
        <f t="shared" si="9"/>
        <v>68.739999999999995</v>
      </c>
      <c r="Q13" s="53"/>
      <c r="R13" s="88">
        <f t="shared" si="10"/>
        <v>0.16456170000000001</v>
      </c>
      <c r="S13" s="53"/>
      <c r="W13" s="33"/>
    </row>
    <row r="14" spans="1:23" x14ac:dyDescent="0.3">
      <c r="A14" s="34">
        <f>'Hist - Inside'!A14</f>
        <v>44166</v>
      </c>
      <c r="B14" s="13">
        <v>1054</v>
      </c>
      <c r="C14" s="14"/>
      <c r="D14" s="52">
        <f t="shared" si="19"/>
        <v>10</v>
      </c>
      <c r="E14" s="52">
        <f t="shared" si="20"/>
        <v>36.78</v>
      </c>
      <c r="F14" s="52">
        <f t="shared" si="21"/>
        <v>16.989999999999998</v>
      </c>
      <c r="G14" s="52">
        <f t="shared" si="22"/>
        <v>2.57</v>
      </c>
      <c r="H14" s="53"/>
      <c r="I14" s="54">
        <f t="shared" si="23"/>
        <v>13.55</v>
      </c>
      <c r="J14" s="54">
        <f t="shared" si="24"/>
        <v>1.25</v>
      </c>
      <c r="K14" s="54">
        <f t="shared" si="25"/>
        <v>6.28</v>
      </c>
      <c r="L14" s="54">
        <v>-18</v>
      </c>
      <c r="M14" s="52">
        <f t="shared" si="26"/>
        <v>25.88</v>
      </c>
      <c r="N14" s="54">
        <v>-6</v>
      </c>
      <c r="O14" s="54">
        <f t="shared" si="8"/>
        <v>1.05</v>
      </c>
      <c r="P14" s="54">
        <f t="shared" si="9"/>
        <v>90.34999999999998</v>
      </c>
      <c r="Q14" s="53"/>
      <c r="R14" s="88">
        <f t="shared" si="10"/>
        <v>0.23468339999999999</v>
      </c>
      <c r="S14" s="53"/>
      <c r="W14" s="33"/>
    </row>
    <row r="15" spans="1:23" x14ac:dyDescent="0.3">
      <c r="A15" s="34">
        <f>'Hist - Inside'!A15</f>
        <v>44197</v>
      </c>
      <c r="B15" s="13">
        <v>1098</v>
      </c>
      <c r="C15" s="14"/>
      <c r="D15" s="52">
        <f>$D$71</f>
        <v>12</v>
      </c>
      <c r="E15" s="52">
        <f>ROUND(IF(B15&lt;650,B15*$D$72,650*$D$72),2)</f>
        <v>36.97</v>
      </c>
      <c r="F15" s="52">
        <f>ROUND(IF(B15&lt;651,0,IF(B15&lt;1000,(B15-650)*$D$73,350*$D$73)),2)</f>
        <v>17.07</v>
      </c>
      <c r="G15" s="52">
        <f>ROUND(IF(B15&lt;1001,0,(B15-1000)*$D$74),2)</f>
        <v>4.6900000000000004</v>
      </c>
      <c r="H15" s="53"/>
      <c r="I15" s="54">
        <f>ROUND(SUM(D15:G15)*$G$74,2)</f>
        <v>14.02</v>
      </c>
      <c r="J15" s="54">
        <f>ROUND(SUM(D15:G15)*$G$76,2)</f>
        <v>1.23</v>
      </c>
      <c r="K15" s="54">
        <f>ROUND(SUM(D15:G15)*$G$77,2)</f>
        <v>4.13</v>
      </c>
      <c r="L15" s="54">
        <v>-18</v>
      </c>
      <c r="M15" s="52">
        <f>ROUND(B15*$G$72,2)</f>
        <v>26.96</v>
      </c>
      <c r="N15" s="54">
        <v>-6</v>
      </c>
      <c r="O15" s="54">
        <f>ROUND(SUM(D15:N15)*$G$75,2)</f>
        <v>1.1000000000000001</v>
      </c>
      <c r="P15" s="54">
        <f t="shared" si="9"/>
        <v>94.169999999999987</v>
      </c>
      <c r="Q15" s="53"/>
      <c r="R15" s="88">
        <f t="shared" si="10"/>
        <v>0.24743280000000001</v>
      </c>
      <c r="S15" s="53"/>
      <c r="W15" s="33"/>
    </row>
    <row r="16" spans="1:23" x14ac:dyDescent="0.3">
      <c r="A16" s="34">
        <f>'Hist - Inside'!A16</f>
        <v>44228</v>
      </c>
      <c r="B16" s="13">
        <v>904</v>
      </c>
      <c r="C16" s="14"/>
      <c r="D16" s="52">
        <f t="shared" ref="D16:D26" si="27">$D$71</f>
        <v>12</v>
      </c>
      <c r="E16" s="52">
        <f t="shared" ref="E16:E26" si="28">ROUND(IF(B16&lt;650,B16*$D$72,650*$D$72),2)</f>
        <v>36.97</v>
      </c>
      <c r="F16" s="52">
        <f t="shared" ref="F16:F26" si="29">ROUND(IF(B16&lt;651,0,IF(B16&lt;1000,(B16-650)*$D$73,350*$D$73)),2)</f>
        <v>12.39</v>
      </c>
      <c r="G16" s="52">
        <f t="shared" ref="G16:G26" si="30">ROUND(IF(B16&lt;1001,0,(B16-1000)*$D$74),2)</f>
        <v>0</v>
      </c>
      <c r="H16" s="53"/>
      <c r="I16" s="54">
        <f t="shared" ref="I16:I26" si="31">ROUND(SUM(D16:G16)*$G$74,2)</f>
        <v>12.17</v>
      </c>
      <c r="J16" s="54">
        <f t="shared" ref="J16:J26" si="32">ROUND(SUM(D16:G16)*$G$76,2)</f>
        <v>1.07</v>
      </c>
      <c r="K16" s="54">
        <f t="shared" ref="K16:K26" si="33">ROUND(SUM(D16:G16)*$G$77,2)</f>
        <v>3.59</v>
      </c>
      <c r="L16" s="54">
        <v>-18</v>
      </c>
      <c r="M16" s="52">
        <f t="shared" ref="M16:M26" si="34">ROUND(B16*$G$72,2)</f>
        <v>22.2</v>
      </c>
      <c r="N16" s="54">
        <v>-6</v>
      </c>
      <c r="O16" s="54">
        <f t="shared" ref="O16:O26" si="35">ROUND(SUM(D16:N16)*$G$75,2)</f>
        <v>0.91</v>
      </c>
      <c r="P16" s="54">
        <f t="shared" si="9"/>
        <v>77.3</v>
      </c>
      <c r="Q16" s="53"/>
      <c r="R16" s="88">
        <f t="shared" si="10"/>
        <v>0.19124099999999999</v>
      </c>
      <c r="S16" s="53"/>
      <c r="W16" s="33"/>
    </row>
    <row r="17" spans="1:23" x14ac:dyDescent="0.3">
      <c r="A17" s="34">
        <f>'Hist - Inside'!A17</f>
        <v>44256</v>
      </c>
      <c r="B17" s="13">
        <v>849</v>
      </c>
      <c r="C17" s="14"/>
      <c r="D17" s="52">
        <f t="shared" si="27"/>
        <v>12</v>
      </c>
      <c r="E17" s="52">
        <f t="shared" si="28"/>
        <v>36.97</v>
      </c>
      <c r="F17" s="52">
        <f t="shared" si="29"/>
        <v>9.7100000000000009</v>
      </c>
      <c r="G17" s="52">
        <f t="shared" si="30"/>
        <v>0</v>
      </c>
      <c r="H17" s="53"/>
      <c r="I17" s="54">
        <f t="shared" si="31"/>
        <v>11.63</v>
      </c>
      <c r="J17" s="54">
        <f t="shared" si="32"/>
        <v>1.02</v>
      </c>
      <c r="K17" s="54">
        <f t="shared" si="33"/>
        <v>3.43</v>
      </c>
      <c r="L17" s="54">
        <v>-18</v>
      </c>
      <c r="M17" s="52">
        <f t="shared" si="34"/>
        <v>20.85</v>
      </c>
      <c r="N17" s="54">
        <v>-6</v>
      </c>
      <c r="O17" s="54">
        <f t="shared" si="35"/>
        <v>0.85</v>
      </c>
      <c r="P17" s="54">
        <f t="shared" si="9"/>
        <v>72.460000000000008</v>
      </c>
      <c r="Q17" s="53"/>
      <c r="R17" s="88">
        <f t="shared" si="10"/>
        <v>0.17530425000000002</v>
      </c>
      <c r="S17" s="53"/>
      <c r="W17" s="33"/>
    </row>
    <row r="18" spans="1:23" x14ac:dyDescent="0.3">
      <c r="A18" s="34">
        <f>'Hist - Inside'!A18</f>
        <v>44287</v>
      </c>
      <c r="B18" s="13">
        <v>744</v>
      </c>
      <c r="C18" s="14"/>
      <c r="D18" s="52">
        <f t="shared" si="27"/>
        <v>12</v>
      </c>
      <c r="E18" s="52">
        <f t="shared" si="28"/>
        <v>36.97</v>
      </c>
      <c r="F18" s="52">
        <f t="shared" si="29"/>
        <v>4.59</v>
      </c>
      <c r="G18" s="52">
        <f t="shared" si="30"/>
        <v>0</v>
      </c>
      <c r="H18" s="53"/>
      <c r="I18" s="54">
        <f t="shared" si="31"/>
        <v>10.62</v>
      </c>
      <c r="J18" s="54">
        <f t="shared" si="32"/>
        <v>0.93</v>
      </c>
      <c r="K18" s="54">
        <f t="shared" si="33"/>
        <v>3.13</v>
      </c>
      <c r="L18" s="54">
        <v>-18</v>
      </c>
      <c r="M18" s="52">
        <f t="shared" si="34"/>
        <v>18.27</v>
      </c>
      <c r="N18" s="54">
        <v>-6</v>
      </c>
      <c r="O18" s="54">
        <f t="shared" si="35"/>
        <v>0.74</v>
      </c>
      <c r="P18" s="54">
        <f t="shared" si="9"/>
        <v>63.250000000000007</v>
      </c>
      <c r="Q18" s="53"/>
      <c r="R18" s="88">
        <f t="shared" si="10"/>
        <v>0.14484734999999999</v>
      </c>
      <c r="S18" s="53"/>
      <c r="W18" s="33"/>
    </row>
    <row r="19" spans="1:23" x14ac:dyDescent="0.3">
      <c r="A19" s="34">
        <f>'Hist - Inside'!A19</f>
        <v>44317</v>
      </c>
      <c r="B19" s="13">
        <v>911</v>
      </c>
      <c r="C19" s="14"/>
      <c r="D19" s="52">
        <f t="shared" si="27"/>
        <v>12</v>
      </c>
      <c r="E19" s="52">
        <f t="shared" si="28"/>
        <v>36.97</v>
      </c>
      <c r="F19" s="52">
        <f t="shared" si="29"/>
        <v>12.73</v>
      </c>
      <c r="G19" s="52">
        <f t="shared" si="30"/>
        <v>0</v>
      </c>
      <c r="H19" s="53"/>
      <c r="I19" s="54">
        <f t="shared" si="31"/>
        <v>12.23</v>
      </c>
      <c r="J19" s="54">
        <f t="shared" si="32"/>
        <v>1.08</v>
      </c>
      <c r="K19" s="54">
        <f t="shared" si="33"/>
        <v>3.61</v>
      </c>
      <c r="L19" s="54">
        <v>-18</v>
      </c>
      <c r="M19" s="52">
        <f t="shared" si="34"/>
        <v>22.37</v>
      </c>
      <c r="N19" s="54">
        <v>-6</v>
      </c>
      <c r="O19" s="54">
        <f t="shared" si="35"/>
        <v>0.91</v>
      </c>
      <c r="P19" s="54">
        <f t="shared" si="9"/>
        <v>77.900000000000006</v>
      </c>
      <c r="Q19" s="53"/>
      <c r="R19" s="88">
        <f t="shared" si="10"/>
        <v>0.19324785</v>
      </c>
      <c r="S19" s="53"/>
      <c r="W19" s="33"/>
    </row>
    <row r="20" spans="1:23" x14ac:dyDescent="0.3">
      <c r="A20" s="34">
        <f>'Hist - Inside'!A20</f>
        <v>44348</v>
      </c>
      <c r="B20" s="13">
        <v>1142</v>
      </c>
      <c r="C20" s="16"/>
      <c r="D20" s="52">
        <f t="shared" si="27"/>
        <v>12</v>
      </c>
      <c r="E20" s="52">
        <f>ROUND(IF(B20&lt;650,B20*$D$75,650*$D$75),2)</f>
        <v>36.97</v>
      </c>
      <c r="F20" s="52">
        <f>ROUND(IF(B20&lt;651,0,IF(B20&lt;1000,(B20-650)*$D$76,350*$D$76)),2)</f>
        <v>33.06</v>
      </c>
      <c r="G20" s="52">
        <f>ROUND(IF(B20&lt;1001,0,(B20-1000)*$D$77),2)</f>
        <v>13.88</v>
      </c>
      <c r="H20" s="53"/>
      <c r="I20" s="54">
        <f t="shared" si="31"/>
        <v>19.02</v>
      </c>
      <c r="J20" s="54">
        <f t="shared" si="32"/>
        <v>1.67</v>
      </c>
      <c r="K20" s="54">
        <f t="shared" si="33"/>
        <v>5.61</v>
      </c>
      <c r="L20" s="54">
        <v>-18</v>
      </c>
      <c r="M20" s="52">
        <f>ROUND(B20*$G$73,2)</f>
        <v>28.67</v>
      </c>
      <c r="N20" s="54">
        <v>-6</v>
      </c>
      <c r="O20" s="54">
        <f t="shared" si="35"/>
        <v>1.51</v>
      </c>
      <c r="P20" s="54">
        <f t="shared" si="9"/>
        <v>128.38999999999999</v>
      </c>
      <c r="Q20" s="53"/>
      <c r="R20" s="88">
        <f t="shared" si="10"/>
        <v>0.26761935000000003</v>
      </c>
      <c r="S20" s="53"/>
    </row>
    <row r="21" spans="1:23" x14ac:dyDescent="0.3">
      <c r="A21" s="34">
        <f>'Hist - Inside'!A21</f>
        <v>44378</v>
      </c>
      <c r="B21" s="13">
        <v>1355</v>
      </c>
      <c r="D21" s="52">
        <f t="shared" si="27"/>
        <v>12</v>
      </c>
      <c r="E21" s="52">
        <f t="shared" ref="E21:E23" si="36">ROUND(IF(B21&lt;650,B21*$D$75,650*$D$75),2)</f>
        <v>36.97</v>
      </c>
      <c r="F21" s="52">
        <f t="shared" ref="F21:F23" si="37">ROUND(IF(B21&lt;651,0,IF(B21&lt;1000,(B21-650)*$D$76,350*$D$76)),2)</f>
        <v>33.06</v>
      </c>
      <c r="G21" s="52">
        <f t="shared" ref="G21:G23" si="38">ROUND(IF(B21&lt;1001,0,(B21-1000)*$D$77),2)</f>
        <v>34.71</v>
      </c>
      <c r="H21" s="53"/>
      <c r="I21" s="54">
        <f t="shared" si="31"/>
        <v>23.15</v>
      </c>
      <c r="J21" s="54">
        <f t="shared" si="32"/>
        <v>2.04</v>
      </c>
      <c r="K21" s="54">
        <f t="shared" si="33"/>
        <v>6.82</v>
      </c>
      <c r="L21" s="54">
        <v>-18</v>
      </c>
      <c r="M21" s="52">
        <f t="shared" ref="M21:M23" si="39">ROUND(B21*$G$73,2)</f>
        <v>34.020000000000003</v>
      </c>
      <c r="N21" s="54">
        <v>-6</v>
      </c>
      <c r="O21" s="54">
        <f t="shared" si="35"/>
        <v>1.88</v>
      </c>
      <c r="P21" s="54">
        <f t="shared" si="9"/>
        <v>160.65</v>
      </c>
      <c r="Q21" s="53"/>
      <c r="R21" s="88">
        <f t="shared" si="10"/>
        <v>0.33077610000000002</v>
      </c>
      <c r="S21" s="53"/>
    </row>
    <row r="22" spans="1:23" x14ac:dyDescent="0.3">
      <c r="A22" s="34">
        <f>'Hist - Inside'!A22</f>
        <v>44409</v>
      </c>
      <c r="B22" s="13">
        <v>1305</v>
      </c>
      <c r="D22" s="52">
        <f t="shared" si="27"/>
        <v>12</v>
      </c>
      <c r="E22" s="52">
        <f t="shared" si="36"/>
        <v>36.97</v>
      </c>
      <c r="F22" s="52">
        <f t="shared" si="37"/>
        <v>33.06</v>
      </c>
      <c r="G22" s="52">
        <f t="shared" si="38"/>
        <v>29.82</v>
      </c>
      <c r="H22" s="53"/>
      <c r="I22" s="54">
        <f t="shared" si="31"/>
        <v>22.18</v>
      </c>
      <c r="J22" s="54">
        <f t="shared" si="32"/>
        <v>1.95</v>
      </c>
      <c r="K22" s="54">
        <f t="shared" si="33"/>
        <v>6.54</v>
      </c>
      <c r="L22" s="54">
        <v>-18</v>
      </c>
      <c r="M22" s="52">
        <f t="shared" si="39"/>
        <v>32.76</v>
      </c>
      <c r="N22" s="54">
        <v>-6</v>
      </c>
      <c r="O22" s="54">
        <f t="shared" si="35"/>
        <v>1.8</v>
      </c>
      <c r="P22" s="54">
        <f t="shared" si="9"/>
        <v>153.07999999999998</v>
      </c>
      <c r="Q22" s="53"/>
      <c r="R22" s="88">
        <f t="shared" si="10"/>
        <v>0.31590179999999995</v>
      </c>
      <c r="S22" s="53"/>
    </row>
    <row r="23" spans="1:23" x14ac:dyDescent="0.3">
      <c r="A23" s="34">
        <f>'Hist - Inside'!A23</f>
        <v>44440</v>
      </c>
      <c r="B23" s="13">
        <v>1002</v>
      </c>
      <c r="D23" s="52">
        <f t="shared" si="27"/>
        <v>12</v>
      </c>
      <c r="E23" s="52">
        <f t="shared" si="36"/>
        <v>36.97</v>
      </c>
      <c r="F23" s="52">
        <f t="shared" si="37"/>
        <v>33.06</v>
      </c>
      <c r="G23" s="52">
        <f t="shared" si="38"/>
        <v>0.2</v>
      </c>
      <c r="H23" s="53"/>
      <c r="I23" s="54">
        <f t="shared" si="31"/>
        <v>16.3</v>
      </c>
      <c r="J23" s="54">
        <f t="shared" si="32"/>
        <v>1.43</v>
      </c>
      <c r="K23" s="54">
        <f t="shared" si="33"/>
        <v>4.8099999999999996</v>
      </c>
      <c r="L23" s="54">
        <v>-18</v>
      </c>
      <c r="M23" s="52">
        <f t="shared" si="39"/>
        <v>25.15</v>
      </c>
      <c r="N23" s="54">
        <v>-6</v>
      </c>
      <c r="O23" s="54">
        <f t="shared" si="35"/>
        <v>1.26</v>
      </c>
      <c r="P23" s="54">
        <f t="shared" si="9"/>
        <v>107.18000000000002</v>
      </c>
      <c r="Q23" s="53"/>
      <c r="R23" s="88">
        <f t="shared" si="10"/>
        <v>0.22606574999999998</v>
      </c>
      <c r="S23" s="53"/>
    </row>
    <row r="24" spans="1:23" x14ac:dyDescent="0.3">
      <c r="A24" s="34">
        <f>'Hist - Inside'!A24</f>
        <v>44470</v>
      </c>
      <c r="B24" s="13">
        <v>824</v>
      </c>
      <c r="D24" s="52">
        <f t="shared" si="27"/>
        <v>12</v>
      </c>
      <c r="E24" s="52">
        <f t="shared" si="28"/>
        <v>36.97</v>
      </c>
      <c r="F24" s="52">
        <f t="shared" si="29"/>
        <v>8.49</v>
      </c>
      <c r="G24" s="52">
        <f t="shared" si="30"/>
        <v>0</v>
      </c>
      <c r="H24" s="53"/>
      <c r="I24" s="54">
        <f t="shared" si="31"/>
        <v>11.39</v>
      </c>
      <c r="J24" s="54">
        <f t="shared" si="32"/>
        <v>1</v>
      </c>
      <c r="K24" s="54">
        <f t="shared" si="33"/>
        <v>3.36</v>
      </c>
      <c r="L24" s="54">
        <v>-18</v>
      </c>
      <c r="M24" s="52">
        <f t="shared" si="34"/>
        <v>20.23</v>
      </c>
      <c r="N24" s="54">
        <v>-6</v>
      </c>
      <c r="O24" s="54">
        <f t="shared" si="35"/>
        <v>0.82</v>
      </c>
      <c r="P24" s="54">
        <f>SUM(D24:O24)</f>
        <v>70.259999999999991</v>
      </c>
      <c r="Q24" s="53"/>
      <c r="R24" s="88">
        <f t="shared" si="10"/>
        <v>0.16798515</v>
      </c>
      <c r="S24" s="53"/>
    </row>
    <row r="25" spans="1:23" x14ac:dyDescent="0.3">
      <c r="A25" s="34">
        <f>'Hist - Inside'!A25</f>
        <v>44501</v>
      </c>
      <c r="B25" s="9">
        <v>812</v>
      </c>
      <c r="D25" s="52">
        <f t="shared" si="27"/>
        <v>12</v>
      </c>
      <c r="E25" s="52">
        <f t="shared" si="28"/>
        <v>36.97</v>
      </c>
      <c r="F25" s="52">
        <f t="shared" si="29"/>
        <v>7.9</v>
      </c>
      <c r="G25" s="52">
        <f t="shared" si="30"/>
        <v>0</v>
      </c>
      <c r="H25" s="53"/>
      <c r="I25" s="54">
        <f t="shared" si="31"/>
        <v>11.28</v>
      </c>
      <c r="J25" s="54">
        <f t="shared" si="32"/>
        <v>0.99</v>
      </c>
      <c r="K25" s="54">
        <f t="shared" si="33"/>
        <v>3.32</v>
      </c>
      <c r="L25" s="54">
        <v>-18</v>
      </c>
      <c r="M25" s="52">
        <f t="shared" si="34"/>
        <v>19.940000000000001</v>
      </c>
      <c r="N25" s="54">
        <v>-6</v>
      </c>
      <c r="O25" s="54">
        <f t="shared" si="35"/>
        <v>0.81</v>
      </c>
      <c r="P25" s="54">
        <f t="shared" ref="P25:P35" si="40">SUM(D25:O25)</f>
        <v>69.20999999999998</v>
      </c>
      <c r="Q25" s="53"/>
      <c r="R25" s="88">
        <f t="shared" si="10"/>
        <v>0.16456170000000001</v>
      </c>
      <c r="S25" s="53"/>
    </row>
    <row r="26" spans="1:23" x14ac:dyDescent="0.3">
      <c r="A26" s="34">
        <f>'Hist - Inside'!A26</f>
        <v>44531</v>
      </c>
      <c r="B26" s="9">
        <v>1054</v>
      </c>
      <c r="D26" s="52">
        <f t="shared" si="27"/>
        <v>12</v>
      </c>
      <c r="E26" s="52">
        <f t="shared" si="28"/>
        <v>36.97</v>
      </c>
      <c r="F26" s="52">
        <f t="shared" si="29"/>
        <v>17.07</v>
      </c>
      <c r="G26" s="52">
        <f t="shared" si="30"/>
        <v>2.59</v>
      </c>
      <c r="H26" s="53"/>
      <c r="I26" s="54">
        <f t="shared" si="31"/>
        <v>13.61</v>
      </c>
      <c r="J26" s="54">
        <f t="shared" si="32"/>
        <v>1.2</v>
      </c>
      <c r="K26" s="54">
        <f t="shared" si="33"/>
        <v>4.01</v>
      </c>
      <c r="L26" s="54">
        <v>-18</v>
      </c>
      <c r="M26" s="52">
        <f t="shared" si="34"/>
        <v>25.88</v>
      </c>
      <c r="N26" s="54">
        <v>-6</v>
      </c>
      <c r="O26" s="54">
        <f t="shared" si="35"/>
        <v>1.06</v>
      </c>
      <c r="P26" s="54">
        <f t="shared" si="40"/>
        <v>90.39</v>
      </c>
      <c r="Q26" s="53"/>
      <c r="R26" s="88">
        <f t="shared" si="10"/>
        <v>0.23468339999999999</v>
      </c>
      <c r="S26" s="53"/>
    </row>
    <row r="27" spans="1:23" x14ac:dyDescent="0.3">
      <c r="A27" s="34">
        <f>'Hist - Inside'!A27</f>
        <v>44562</v>
      </c>
      <c r="B27" s="9">
        <v>1098</v>
      </c>
      <c r="D27" s="52">
        <f>$D$80</f>
        <v>14</v>
      </c>
      <c r="E27" s="52">
        <f>ROUND(IF(B27&lt;650,B27*$D$81,650*$D$81),2)</f>
        <v>37.94</v>
      </c>
      <c r="F27" s="52">
        <f>ROUND(IF(B27&lt;651,0,IF(B27&lt;1000,(B27-650)*$D$82,350*$D$82)),2)</f>
        <v>17.52</v>
      </c>
      <c r="G27" s="52">
        <f>ROUND(IF(B27&lt;1001,0,(B27-1000)*$D$83),2)</f>
        <v>4.82</v>
      </c>
      <c r="H27" s="53"/>
      <c r="I27" s="54">
        <f>ROUND(SUM(D27:G27)*$G$83,2)</f>
        <v>13.76</v>
      </c>
      <c r="J27" s="54">
        <f>ROUND(SUM(D27:G27)*$G$85,2)</f>
        <v>0.75</v>
      </c>
      <c r="K27" s="54">
        <f>ROUND(SUM(D27:G27)*$G$86,2)</f>
        <v>2.83</v>
      </c>
      <c r="L27" s="54">
        <v>-18</v>
      </c>
      <c r="M27" s="52">
        <f>ROUND(B27*$G$81,2)</f>
        <v>31.01</v>
      </c>
      <c r="N27" s="54">
        <v>-6</v>
      </c>
      <c r="O27" s="54">
        <f>ROUND(SUM(D27:N27)*$G$84,2)</f>
        <v>1.1599999999999999</v>
      </c>
      <c r="P27" s="54">
        <f t="shared" si="40"/>
        <v>99.79</v>
      </c>
      <c r="Q27" s="53"/>
      <c r="R27" s="88">
        <f t="shared" si="10"/>
        <v>0.29524305000000001</v>
      </c>
      <c r="S27" s="53"/>
    </row>
    <row r="28" spans="1:23" x14ac:dyDescent="0.3">
      <c r="A28" s="34">
        <f>'Hist - Inside'!A28</f>
        <v>44593</v>
      </c>
      <c r="B28" s="9">
        <v>904</v>
      </c>
      <c r="D28" s="52">
        <f t="shared" ref="D28:D38" si="41">$D$80</f>
        <v>14</v>
      </c>
      <c r="E28" s="52">
        <f t="shared" ref="E28:E38" si="42">ROUND(IF(B28&lt;650,B28*$D$81,650*$D$81),2)</f>
        <v>37.94</v>
      </c>
      <c r="F28" s="52">
        <f t="shared" ref="F28:F38" si="43">ROUND(IF(B28&lt;651,0,IF(B28&lt;1000,(B28-650)*$D$82,350*$D$82)),2)</f>
        <v>12.72</v>
      </c>
      <c r="G28" s="52">
        <f t="shared" ref="G28:G38" si="44">ROUND(IF(B28&lt;1001,0,(B28-1000)*$D$83),2)</f>
        <v>0</v>
      </c>
      <c r="H28" s="53"/>
      <c r="I28" s="54">
        <f t="shared" ref="I28:I38" si="45">ROUND(SUM(D28:G28)*$G$83,2)</f>
        <v>11.97</v>
      </c>
      <c r="J28" s="54">
        <f t="shared" ref="J28:J38" si="46">ROUND(SUM(D28:G28)*$G$85,2)</f>
        <v>0.65</v>
      </c>
      <c r="K28" s="54">
        <f t="shared" ref="K28:K38" si="47">ROUND(SUM(D28:G28)*$G$86,2)</f>
        <v>2.4700000000000002</v>
      </c>
      <c r="L28" s="54">
        <v>-18</v>
      </c>
      <c r="M28" s="52">
        <f t="shared" ref="M28:M38" si="48">ROUND(B28*$G$81,2)</f>
        <v>25.53</v>
      </c>
      <c r="N28" s="54">
        <v>-6</v>
      </c>
      <c r="O28" s="54">
        <f t="shared" ref="O28:O38" si="49">ROUND(SUM(D28:N28)*$G$84,2)</f>
        <v>0.96</v>
      </c>
      <c r="P28" s="54">
        <f t="shared" si="40"/>
        <v>82.24</v>
      </c>
      <c r="Q28" s="53"/>
      <c r="R28" s="88">
        <f t="shared" si="10"/>
        <v>0.23055165</v>
      </c>
      <c r="S28" s="53"/>
    </row>
    <row r="29" spans="1:23" x14ac:dyDescent="0.3">
      <c r="A29" s="34">
        <f>'Hist - Inside'!A29</f>
        <v>44621</v>
      </c>
      <c r="B29" s="9">
        <v>849</v>
      </c>
      <c r="D29" s="52">
        <f t="shared" si="41"/>
        <v>14</v>
      </c>
      <c r="E29" s="52">
        <f t="shared" si="42"/>
        <v>37.94</v>
      </c>
      <c r="F29" s="52">
        <f t="shared" si="43"/>
        <v>9.9600000000000009</v>
      </c>
      <c r="G29" s="52">
        <f t="shared" si="44"/>
        <v>0</v>
      </c>
      <c r="H29" s="53"/>
      <c r="I29" s="54">
        <f t="shared" si="45"/>
        <v>11.46</v>
      </c>
      <c r="J29" s="54">
        <f t="shared" si="46"/>
        <v>0.62</v>
      </c>
      <c r="K29" s="54">
        <f t="shared" si="47"/>
        <v>2.36</v>
      </c>
      <c r="L29" s="54">
        <v>-18</v>
      </c>
      <c r="M29" s="52">
        <f t="shared" si="48"/>
        <v>23.98</v>
      </c>
      <c r="N29" s="54">
        <v>-6</v>
      </c>
      <c r="O29" s="54">
        <f t="shared" si="49"/>
        <v>0.9</v>
      </c>
      <c r="P29" s="54">
        <f t="shared" si="40"/>
        <v>77.220000000000013</v>
      </c>
      <c r="Q29" s="53"/>
      <c r="R29" s="88">
        <f t="shared" si="10"/>
        <v>0.2122539</v>
      </c>
      <c r="S29" s="53"/>
    </row>
    <row r="30" spans="1:23" x14ac:dyDescent="0.3">
      <c r="A30" s="34">
        <f>'Hist - Inside'!A30</f>
        <v>44652</v>
      </c>
      <c r="B30" s="9">
        <v>744</v>
      </c>
      <c r="D30" s="52">
        <f t="shared" si="41"/>
        <v>14</v>
      </c>
      <c r="E30" s="52">
        <f t="shared" si="42"/>
        <v>37.94</v>
      </c>
      <c r="F30" s="52">
        <f t="shared" si="43"/>
        <v>4.71</v>
      </c>
      <c r="G30" s="52">
        <f t="shared" si="44"/>
        <v>0</v>
      </c>
      <c r="H30" s="53"/>
      <c r="I30" s="54">
        <f t="shared" si="45"/>
        <v>10.49</v>
      </c>
      <c r="J30" s="54">
        <f t="shared" si="46"/>
        <v>0.56999999999999995</v>
      </c>
      <c r="K30" s="54">
        <f t="shared" si="47"/>
        <v>2.16</v>
      </c>
      <c r="L30" s="54">
        <v>-18</v>
      </c>
      <c r="M30" s="52">
        <f t="shared" si="48"/>
        <v>21.01</v>
      </c>
      <c r="N30" s="54">
        <v>-6</v>
      </c>
      <c r="O30" s="54">
        <f t="shared" si="49"/>
        <v>0.79</v>
      </c>
      <c r="P30" s="54">
        <f t="shared" si="40"/>
        <v>67.67</v>
      </c>
      <c r="Q30" s="53"/>
      <c r="R30" s="88">
        <f t="shared" si="10"/>
        <v>0.17719305000000002</v>
      </c>
      <c r="S30" s="53"/>
    </row>
    <row r="31" spans="1:23" x14ac:dyDescent="0.3">
      <c r="A31" s="34">
        <f>'Hist - Inside'!A31</f>
        <v>44682</v>
      </c>
      <c r="B31" s="9">
        <v>911</v>
      </c>
      <c r="D31" s="52">
        <f t="shared" si="41"/>
        <v>14</v>
      </c>
      <c r="E31" s="52">
        <f t="shared" si="42"/>
        <v>37.94</v>
      </c>
      <c r="F31" s="52">
        <f t="shared" si="43"/>
        <v>13.07</v>
      </c>
      <c r="G31" s="52">
        <f t="shared" si="44"/>
        <v>0</v>
      </c>
      <c r="H31" s="53"/>
      <c r="I31" s="54">
        <f t="shared" si="45"/>
        <v>12.04</v>
      </c>
      <c r="J31" s="54">
        <f t="shared" si="46"/>
        <v>0.65</v>
      </c>
      <c r="K31" s="54">
        <f t="shared" si="47"/>
        <v>2.48</v>
      </c>
      <c r="L31" s="54">
        <v>-18</v>
      </c>
      <c r="M31" s="52">
        <f t="shared" si="48"/>
        <v>25.73</v>
      </c>
      <c r="N31" s="54">
        <v>-6</v>
      </c>
      <c r="O31" s="54">
        <f t="shared" si="49"/>
        <v>0.97</v>
      </c>
      <c r="P31" s="54">
        <f t="shared" si="40"/>
        <v>82.88</v>
      </c>
      <c r="Q31" s="53"/>
      <c r="R31" s="88">
        <f t="shared" si="10"/>
        <v>0.23291265</v>
      </c>
      <c r="S31" s="53"/>
    </row>
    <row r="32" spans="1:23" x14ac:dyDescent="0.3">
      <c r="A32" s="34">
        <f>'Hist - Inside'!A32</f>
        <v>44713</v>
      </c>
      <c r="B32" s="9">
        <v>1142</v>
      </c>
      <c r="D32" s="52">
        <f t="shared" si="41"/>
        <v>14</v>
      </c>
      <c r="E32" s="52">
        <f>ROUND(IF(B32&lt;650,B32*$D$84,650*$D$84),2)</f>
        <v>37.94</v>
      </c>
      <c r="F32" s="52">
        <f>ROUND(IF(B32&lt;651,0,IF(B32&lt;1000,(B32-650)*$D$85,350*$D$85)),2)</f>
        <v>33.93</v>
      </c>
      <c r="G32" s="52">
        <f>ROUND(IF(B32&lt;1001,0,(B32-1000)*$D$86),2)</f>
        <v>14.25</v>
      </c>
      <c r="H32" s="53"/>
      <c r="I32" s="54">
        <f>ROUND(SUM(D32:G32)*$G$83,2)</f>
        <v>18.54</v>
      </c>
      <c r="J32" s="54">
        <f t="shared" si="46"/>
        <v>1.01</v>
      </c>
      <c r="K32" s="54">
        <f t="shared" si="47"/>
        <v>3.82</v>
      </c>
      <c r="L32" s="54">
        <v>-18</v>
      </c>
      <c r="M32" s="52">
        <f>ROUND(B32*$G$82,2)</f>
        <v>32.97</v>
      </c>
      <c r="N32" s="54">
        <v>-6</v>
      </c>
      <c r="O32" s="54">
        <f t="shared" si="49"/>
        <v>1.56</v>
      </c>
      <c r="P32" s="54">
        <f t="shared" si="40"/>
        <v>134.01999999999998</v>
      </c>
      <c r="Q32" s="53"/>
      <c r="R32" s="88">
        <f t="shared" si="10"/>
        <v>0.31838084999999999</v>
      </c>
      <c r="S32" s="53"/>
    </row>
    <row r="33" spans="1:19" x14ac:dyDescent="0.3">
      <c r="A33" s="34">
        <f>'Hist - Inside'!A33</f>
        <v>44743</v>
      </c>
      <c r="B33" s="9">
        <v>1355</v>
      </c>
      <c r="D33" s="52">
        <f t="shared" si="41"/>
        <v>14</v>
      </c>
      <c r="E33" s="52">
        <f t="shared" ref="E33:E35" si="50">ROUND(IF(B33&lt;650,B33*$D$84,650*$D$84),2)</f>
        <v>37.94</v>
      </c>
      <c r="F33" s="52">
        <f t="shared" ref="F33:F35" si="51">ROUND(IF(B33&lt;651,0,IF(B33&lt;1000,(B33-650)*$D$85,350*$D$85)),2)</f>
        <v>33.93</v>
      </c>
      <c r="G33" s="52">
        <f t="shared" ref="G33:G35" si="52">ROUND(IF(B33&lt;1001,0,(B33-1000)*$D$86),2)</f>
        <v>35.619999999999997</v>
      </c>
      <c r="H33" s="53"/>
      <c r="I33" s="54">
        <f t="shared" ref="I33:I35" si="53">ROUND(SUM(D33:G33)*$G$83,2)</f>
        <v>22.5</v>
      </c>
      <c r="J33" s="54">
        <f t="shared" si="46"/>
        <v>1.22</v>
      </c>
      <c r="K33" s="54">
        <f t="shared" si="47"/>
        <v>4.63</v>
      </c>
      <c r="L33" s="54">
        <v>-18</v>
      </c>
      <c r="M33" s="52">
        <f t="shared" ref="M33:M35" si="54">ROUND(B33*$G$82,2)</f>
        <v>39.119999999999997</v>
      </c>
      <c r="N33" s="54">
        <v>-6</v>
      </c>
      <c r="O33" s="54">
        <f t="shared" si="49"/>
        <v>1.94</v>
      </c>
      <c r="P33" s="54">
        <f t="shared" si="40"/>
        <v>166.9</v>
      </c>
      <c r="Q33" s="53"/>
      <c r="R33" s="88">
        <f t="shared" si="10"/>
        <v>0.39098159999999993</v>
      </c>
      <c r="S33" s="53"/>
    </row>
    <row r="34" spans="1:19" x14ac:dyDescent="0.3">
      <c r="A34" s="34">
        <f>'Hist - Inside'!A34</f>
        <v>44774</v>
      </c>
      <c r="B34" s="9">
        <v>1305</v>
      </c>
      <c r="D34" s="52">
        <f t="shared" si="41"/>
        <v>14</v>
      </c>
      <c r="E34" s="52">
        <f t="shared" si="50"/>
        <v>37.94</v>
      </c>
      <c r="F34" s="52">
        <f t="shared" si="51"/>
        <v>33.93</v>
      </c>
      <c r="G34" s="52">
        <f t="shared" si="52"/>
        <v>30.6</v>
      </c>
      <c r="H34" s="53"/>
      <c r="I34" s="54">
        <f t="shared" si="53"/>
        <v>21.57</v>
      </c>
      <c r="J34" s="54">
        <f t="shared" si="46"/>
        <v>1.17</v>
      </c>
      <c r="K34" s="54">
        <f t="shared" si="47"/>
        <v>4.4400000000000004</v>
      </c>
      <c r="L34" s="54">
        <v>-18</v>
      </c>
      <c r="M34" s="52">
        <f t="shared" si="54"/>
        <v>37.68</v>
      </c>
      <c r="N34" s="54">
        <v>-6</v>
      </c>
      <c r="O34" s="54">
        <f t="shared" si="49"/>
        <v>1.85</v>
      </c>
      <c r="P34" s="54">
        <f t="shared" si="40"/>
        <v>159.17999999999998</v>
      </c>
      <c r="Q34" s="53"/>
      <c r="R34" s="88">
        <f t="shared" si="10"/>
        <v>0.37398239999999999</v>
      </c>
      <c r="S34" s="53"/>
    </row>
    <row r="35" spans="1:19" x14ac:dyDescent="0.3">
      <c r="A35" s="34">
        <f>'Hist - Inside'!A35</f>
        <v>44805</v>
      </c>
      <c r="B35" s="9">
        <v>1002</v>
      </c>
      <c r="D35" s="52">
        <f t="shared" si="41"/>
        <v>14</v>
      </c>
      <c r="E35" s="52">
        <f t="shared" si="50"/>
        <v>37.94</v>
      </c>
      <c r="F35" s="52">
        <f t="shared" si="51"/>
        <v>33.93</v>
      </c>
      <c r="G35" s="52">
        <f t="shared" si="52"/>
        <v>0.2</v>
      </c>
      <c r="H35" s="53"/>
      <c r="I35" s="54">
        <f t="shared" si="53"/>
        <v>15.94</v>
      </c>
      <c r="J35" s="54">
        <f t="shared" si="46"/>
        <v>0.87</v>
      </c>
      <c r="K35" s="54">
        <f t="shared" si="47"/>
        <v>3.28</v>
      </c>
      <c r="L35" s="54">
        <v>-18</v>
      </c>
      <c r="M35" s="52">
        <f t="shared" si="54"/>
        <v>28.93</v>
      </c>
      <c r="N35" s="54">
        <v>-6</v>
      </c>
      <c r="O35" s="54">
        <f t="shared" si="49"/>
        <v>1.31</v>
      </c>
      <c r="P35" s="54">
        <f t="shared" si="40"/>
        <v>112.4</v>
      </c>
      <c r="Q35" s="53"/>
      <c r="R35" s="88">
        <f t="shared" si="10"/>
        <v>0.27068864999999998</v>
      </c>
      <c r="S35" s="53"/>
    </row>
    <row r="36" spans="1:19" x14ac:dyDescent="0.3">
      <c r="A36" s="34">
        <f>'Hist - Inside'!A36</f>
        <v>44835</v>
      </c>
      <c r="B36" s="9">
        <v>824</v>
      </c>
      <c r="D36" s="52">
        <f t="shared" si="41"/>
        <v>14</v>
      </c>
      <c r="E36" s="52">
        <f t="shared" si="42"/>
        <v>37.94</v>
      </c>
      <c r="F36" s="52">
        <f t="shared" si="43"/>
        <v>8.7100000000000009</v>
      </c>
      <c r="G36" s="52">
        <f t="shared" si="44"/>
        <v>0</v>
      </c>
      <c r="H36" s="53"/>
      <c r="I36" s="54">
        <f t="shared" si="45"/>
        <v>11.23</v>
      </c>
      <c r="J36" s="54">
        <f t="shared" si="46"/>
        <v>0.61</v>
      </c>
      <c r="K36" s="54">
        <f t="shared" si="47"/>
        <v>2.31</v>
      </c>
      <c r="L36" s="54">
        <v>-18</v>
      </c>
      <c r="M36" s="52">
        <f t="shared" si="48"/>
        <v>23.27</v>
      </c>
      <c r="N36" s="54">
        <v>-6</v>
      </c>
      <c r="O36" s="54">
        <f t="shared" si="49"/>
        <v>0.87</v>
      </c>
      <c r="P36" s="54">
        <f>SUM(D36:O36)</f>
        <v>74.94</v>
      </c>
      <c r="Q36" s="53"/>
      <c r="R36" s="88">
        <f t="shared" si="10"/>
        <v>0.20387234999999998</v>
      </c>
      <c r="S36" s="53"/>
    </row>
    <row r="37" spans="1:19" x14ac:dyDescent="0.3">
      <c r="A37" s="34">
        <f>'Hist - Inside'!A37</f>
        <v>44866</v>
      </c>
      <c r="B37" s="9">
        <v>812</v>
      </c>
      <c r="D37" s="52">
        <f t="shared" si="41"/>
        <v>14</v>
      </c>
      <c r="E37" s="52">
        <f t="shared" si="42"/>
        <v>37.94</v>
      </c>
      <c r="F37" s="52">
        <f t="shared" si="43"/>
        <v>8.11</v>
      </c>
      <c r="G37" s="52">
        <f t="shared" si="44"/>
        <v>0</v>
      </c>
      <c r="H37" s="53"/>
      <c r="I37" s="54">
        <f t="shared" si="45"/>
        <v>11.12</v>
      </c>
      <c r="J37" s="54">
        <f t="shared" si="46"/>
        <v>0.6</v>
      </c>
      <c r="K37" s="54">
        <f t="shared" si="47"/>
        <v>2.29</v>
      </c>
      <c r="L37" s="54">
        <v>-18</v>
      </c>
      <c r="M37" s="52">
        <f t="shared" si="48"/>
        <v>22.93</v>
      </c>
      <c r="N37" s="54">
        <v>-6</v>
      </c>
      <c r="O37" s="54">
        <f t="shared" si="49"/>
        <v>0.86</v>
      </c>
      <c r="P37" s="54">
        <f t="shared" ref="P37:P38" si="55">SUM(D37:O37)</f>
        <v>73.850000000000009</v>
      </c>
      <c r="Q37" s="53"/>
      <c r="R37" s="88">
        <f t="shared" si="10"/>
        <v>0.19985865</v>
      </c>
      <c r="S37" s="53"/>
    </row>
    <row r="38" spans="1:19" x14ac:dyDescent="0.3">
      <c r="A38" s="34">
        <f>'Hist - Inside'!A38</f>
        <v>44896</v>
      </c>
      <c r="B38" s="9">
        <v>1054</v>
      </c>
      <c r="D38" s="52">
        <f t="shared" si="41"/>
        <v>14</v>
      </c>
      <c r="E38" s="52">
        <f t="shared" si="42"/>
        <v>37.94</v>
      </c>
      <c r="F38" s="52">
        <f t="shared" si="43"/>
        <v>17.52</v>
      </c>
      <c r="G38" s="52">
        <f t="shared" si="44"/>
        <v>2.65</v>
      </c>
      <c r="H38" s="53"/>
      <c r="I38" s="54">
        <f t="shared" si="45"/>
        <v>13.35</v>
      </c>
      <c r="J38" s="54">
        <f t="shared" si="46"/>
        <v>0.72</v>
      </c>
      <c r="K38" s="54">
        <f t="shared" si="47"/>
        <v>2.75</v>
      </c>
      <c r="L38" s="54">
        <v>-18</v>
      </c>
      <c r="M38" s="52">
        <f t="shared" si="48"/>
        <v>29.77</v>
      </c>
      <c r="N38" s="54">
        <v>-6</v>
      </c>
      <c r="O38" s="54">
        <f t="shared" si="49"/>
        <v>1.1200000000000001</v>
      </c>
      <c r="P38" s="54">
        <f t="shared" si="55"/>
        <v>95.82</v>
      </c>
      <c r="Q38" s="53"/>
      <c r="R38" s="88">
        <f t="shared" si="10"/>
        <v>0.28060484999999996</v>
      </c>
      <c r="S38" s="53"/>
    </row>
    <row r="40" spans="1:19" x14ac:dyDescent="0.3">
      <c r="A40" s="9" t="s">
        <v>26</v>
      </c>
      <c r="B40" s="13">
        <f>SUM(B3:B38)</f>
        <v>36000</v>
      </c>
      <c r="F40" s="9" t="s">
        <v>27</v>
      </c>
      <c r="G40" s="10">
        <f>SUM(D3:G38)</f>
        <v>2703.04</v>
      </c>
      <c r="I40" s="10">
        <f>SUM(I3:I38)</f>
        <v>528.79999999999995</v>
      </c>
      <c r="J40" s="10">
        <f>SUM(J3:J38)</f>
        <v>41.429999999999986</v>
      </c>
      <c r="K40" s="10">
        <f>SUM(K3:K38)</f>
        <v>170.26</v>
      </c>
      <c r="L40" s="10">
        <f t="shared" ref="L40:N40" si="56">SUM(L3:L38)</f>
        <v>-648</v>
      </c>
      <c r="M40" s="10">
        <f t="shared" si="56"/>
        <v>947.39999999999986</v>
      </c>
      <c r="N40" s="10">
        <f t="shared" si="56"/>
        <v>-216</v>
      </c>
      <c r="O40" s="10">
        <f>SUM(O3:O38)</f>
        <v>41.67</v>
      </c>
      <c r="P40" s="10">
        <f>SUM(P3:P38)</f>
        <v>3568.6</v>
      </c>
      <c r="R40" s="15">
        <f>SUM(R3:R38)</f>
        <v>8.6341769999999993</v>
      </c>
    </row>
    <row r="41" spans="1:19" x14ac:dyDescent="0.3">
      <c r="B41" s="13"/>
      <c r="G41" s="10"/>
      <c r="I41" s="10"/>
      <c r="J41" s="10"/>
      <c r="K41" s="10"/>
      <c r="L41" s="10"/>
      <c r="M41" s="10"/>
      <c r="N41" s="10"/>
      <c r="O41" s="10"/>
      <c r="P41" s="10"/>
      <c r="R41" s="15"/>
    </row>
    <row r="42" spans="1:19" x14ac:dyDescent="0.3">
      <c r="B42" s="17"/>
      <c r="G42" s="10"/>
      <c r="I42" s="10"/>
      <c r="J42" s="10"/>
      <c r="K42" s="10"/>
      <c r="L42" s="10"/>
      <c r="M42" s="10"/>
      <c r="N42" s="10"/>
      <c r="O42" s="10"/>
      <c r="P42" s="10"/>
      <c r="R42" s="15"/>
    </row>
    <row r="43" spans="1:19" ht="15.6" x14ac:dyDescent="0.45">
      <c r="A43" s="18" t="s">
        <v>28</v>
      </c>
      <c r="B43" s="19"/>
      <c r="C43" s="19"/>
      <c r="D43" s="19"/>
      <c r="E43" s="19"/>
      <c r="F43" s="19"/>
      <c r="G43" s="20"/>
      <c r="I43" s="21"/>
      <c r="J43" s="22"/>
      <c r="K43" s="22"/>
      <c r="L43" s="22"/>
      <c r="M43" s="23"/>
      <c r="N43" s="23"/>
      <c r="O43" s="23"/>
    </row>
    <row r="44" spans="1:19" x14ac:dyDescent="0.3">
      <c r="A44" s="103" t="s">
        <v>29</v>
      </c>
      <c r="B44" s="104"/>
      <c r="C44" s="24"/>
      <c r="D44" s="56">
        <v>10</v>
      </c>
      <c r="E44" s="53"/>
      <c r="F44" s="57" t="s">
        <v>30</v>
      </c>
      <c r="G44" s="58"/>
      <c r="K44" s="25"/>
      <c r="L44" s="25"/>
    </row>
    <row r="45" spans="1:19" x14ac:dyDescent="0.3">
      <c r="A45" s="105" t="s">
        <v>31</v>
      </c>
      <c r="B45" s="106"/>
      <c r="C45" s="24"/>
      <c r="D45" s="60">
        <v>5.6582E-2</v>
      </c>
      <c r="E45" s="53"/>
      <c r="F45" s="61" t="s">
        <v>32</v>
      </c>
      <c r="G45" s="62">
        <v>2.8812999999999998E-2</v>
      </c>
      <c r="I45" s="10"/>
      <c r="J45" s="26"/>
      <c r="K45" s="27"/>
      <c r="L45" s="27"/>
      <c r="M45" s="10"/>
      <c r="N45" s="10"/>
      <c r="O45" s="10"/>
    </row>
    <row r="46" spans="1:19" x14ac:dyDescent="0.3">
      <c r="A46" s="107" t="s">
        <v>33</v>
      </c>
      <c r="B46" s="108"/>
      <c r="D46" s="65">
        <v>4.8533E-2</v>
      </c>
      <c r="E46" s="53"/>
      <c r="F46" s="66" t="s">
        <v>34</v>
      </c>
      <c r="G46" s="67">
        <v>3.1718000000000003E-2</v>
      </c>
    </row>
    <row r="47" spans="1:19" x14ac:dyDescent="0.3">
      <c r="A47" s="101" t="s">
        <v>35</v>
      </c>
      <c r="B47" s="102"/>
      <c r="C47" s="28"/>
      <c r="D47" s="69">
        <v>4.7641000000000003E-2</v>
      </c>
      <c r="E47" s="53"/>
      <c r="F47" s="57" t="s">
        <v>36</v>
      </c>
      <c r="G47" s="70">
        <v>0.20419399999999999</v>
      </c>
    </row>
    <row r="48" spans="1:19" x14ac:dyDescent="0.3">
      <c r="A48" s="105" t="s">
        <v>37</v>
      </c>
      <c r="B48" s="106"/>
      <c r="D48" s="65">
        <v>5.6582E-2</v>
      </c>
      <c r="E48" s="53"/>
      <c r="F48" s="71" t="s">
        <v>38</v>
      </c>
      <c r="G48" s="72">
        <v>1.1805E-2</v>
      </c>
      <c r="I48" s="29"/>
    </row>
    <row r="49" spans="1:16" x14ac:dyDescent="0.3">
      <c r="A49" s="107" t="s">
        <v>39</v>
      </c>
      <c r="B49" s="108"/>
      <c r="D49" s="65">
        <v>9.3982999999999997E-2</v>
      </c>
      <c r="E49" s="53"/>
      <c r="F49" s="66" t="s">
        <v>20</v>
      </c>
      <c r="G49" s="72">
        <v>1.8877999999999999E-2</v>
      </c>
    </row>
    <row r="50" spans="1:16" x14ac:dyDescent="0.3">
      <c r="A50" s="101" t="s">
        <v>40</v>
      </c>
      <c r="B50" s="102"/>
      <c r="C50" s="28"/>
      <c r="D50" s="69">
        <v>9.7272999999999998E-2</v>
      </c>
      <c r="E50" s="68"/>
      <c r="F50" s="66" t="s">
        <v>41</v>
      </c>
      <c r="G50" s="72">
        <v>9.4596E-2</v>
      </c>
    </row>
    <row r="51" spans="1:16" x14ac:dyDescent="0.3">
      <c r="A51" s="11"/>
      <c r="B51" s="11"/>
      <c r="C51" s="11"/>
      <c r="D51" s="11"/>
      <c r="E51" s="11"/>
      <c r="H51" s="11"/>
      <c r="I51" s="11"/>
      <c r="J51" s="11"/>
      <c r="K51" s="11"/>
      <c r="L51" s="11"/>
      <c r="M51" s="11"/>
      <c r="N51" s="11"/>
      <c r="O51" s="11"/>
      <c r="P51" s="11"/>
    </row>
    <row r="52" spans="1:16" x14ac:dyDescent="0.3">
      <c r="A52" s="18" t="s">
        <v>42</v>
      </c>
      <c r="B52" s="19"/>
      <c r="C52" s="19"/>
      <c r="D52" s="19"/>
      <c r="E52" s="19"/>
      <c r="F52" s="19"/>
      <c r="G52" s="20"/>
      <c r="I52" s="10"/>
      <c r="J52" s="30"/>
      <c r="K52" s="30"/>
      <c r="L52" s="30"/>
      <c r="P52" s="10"/>
    </row>
    <row r="53" spans="1:16" x14ac:dyDescent="0.3">
      <c r="A53" s="103" t="s">
        <v>29</v>
      </c>
      <c r="B53" s="104"/>
      <c r="C53" s="24"/>
      <c r="D53" s="56">
        <v>10</v>
      </c>
      <c r="E53" s="53"/>
      <c r="F53" s="57" t="s">
        <v>43</v>
      </c>
      <c r="G53" s="58"/>
      <c r="I53" s="10"/>
      <c r="J53" s="30"/>
      <c r="K53" s="30"/>
      <c r="L53" s="30"/>
      <c r="P53" s="10"/>
    </row>
    <row r="54" spans="1:16" x14ac:dyDescent="0.3">
      <c r="A54" s="48" t="s">
        <v>31</v>
      </c>
      <c r="B54" s="49"/>
      <c r="C54" s="24"/>
      <c r="D54" s="60">
        <v>5.6582E-2</v>
      </c>
      <c r="E54" s="53"/>
      <c r="F54" s="61" t="s">
        <v>32</v>
      </c>
      <c r="G54" s="62">
        <v>2.4556999999999999E-2</v>
      </c>
      <c r="I54" s="10"/>
      <c r="J54" s="30"/>
      <c r="K54" s="30"/>
      <c r="L54" s="30"/>
      <c r="P54" s="10"/>
    </row>
    <row r="55" spans="1:16" x14ac:dyDescent="0.3">
      <c r="A55" s="50" t="s">
        <v>33</v>
      </c>
      <c r="B55" s="51"/>
      <c r="D55" s="65">
        <v>4.8533E-2</v>
      </c>
      <c r="E55" s="53"/>
      <c r="F55" s="66" t="s">
        <v>34</v>
      </c>
      <c r="G55" s="67">
        <v>2.3375E-2</v>
      </c>
      <c r="I55" s="10"/>
      <c r="J55" s="30"/>
      <c r="K55" s="30"/>
      <c r="L55" s="30"/>
      <c r="P55" s="10"/>
    </row>
    <row r="56" spans="1:16" x14ac:dyDescent="0.3">
      <c r="A56" s="46" t="s">
        <v>35</v>
      </c>
      <c r="B56" s="47"/>
      <c r="C56" s="28"/>
      <c r="D56" s="69">
        <v>4.7641000000000003E-2</v>
      </c>
      <c r="E56" s="53"/>
      <c r="F56" s="57" t="s">
        <v>36</v>
      </c>
      <c r="G56" s="70">
        <v>0.20419399999999999</v>
      </c>
      <c r="I56" s="10"/>
      <c r="J56" s="30"/>
      <c r="K56" s="30"/>
      <c r="L56" s="30"/>
      <c r="P56" s="10"/>
    </row>
    <row r="57" spans="1:16" x14ac:dyDescent="0.3">
      <c r="A57" s="48" t="s">
        <v>37</v>
      </c>
      <c r="B57" s="49"/>
      <c r="D57" s="65">
        <v>5.6582E-2</v>
      </c>
      <c r="E57" s="53"/>
      <c r="F57" s="71" t="s">
        <v>38</v>
      </c>
      <c r="G57" s="72">
        <f>G48</f>
        <v>1.1805E-2</v>
      </c>
      <c r="I57" s="31"/>
      <c r="J57" s="30"/>
      <c r="K57" s="30"/>
      <c r="L57" s="30"/>
      <c r="P57" s="10"/>
    </row>
    <row r="58" spans="1:16" x14ac:dyDescent="0.3">
      <c r="A58" s="50" t="s">
        <v>39</v>
      </c>
      <c r="B58" s="51"/>
      <c r="D58" s="65">
        <v>9.3982999999999997E-2</v>
      </c>
      <c r="E58" s="53"/>
      <c r="F58" s="66" t="s">
        <v>20</v>
      </c>
      <c r="G58" s="72">
        <v>1.8877999999999999E-2</v>
      </c>
      <c r="I58" s="10"/>
      <c r="J58" s="30"/>
      <c r="K58" s="30"/>
      <c r="L58" s="30"/>
      <c r="P58" s="10"/>
    </row>
    <row r="59" spans="1:16" x14ac:dyDescent="0.3">
      <c r="A59" s="46" t="s">
        <v>40</v>
      </c>
      <c r="B59" s="47"/>
      <c r="C59" s="28"/>
      <c r="D59" s="69">
        <v>9.7272999999999998E-2</v>
      </c>
      <c r="E59" s="68"/>
      <c r="F59" s="66" t="s">
        <v>41</v>
      </c>
      <c r="G59" s="72">
        <v>9.4596E-2</v>
      </c>
      <c r="I59" s="10"/>
      <c r="J59" s="30"/>
      <c r="K59" s="30"/>
      <c r="L59" s="30"/>
      <c r="P59" s="10"/>
    </row>
    <row r="60" spans="1:16" x14ac:dyDescent="0.3">
      <c r="B60" s="17"/>
      <c r="D60" s="30"/>
      <c r="E60" s="30"/>
      <c r="F60" s="30"/>
      <c r="G60" s="30"/>
      <c r="I60" s="10"/>
      <c r="J60" s="30"/>
      <c r="K60" s="30"/>
      <c r="L60" s="30"/>
      <c r="P60" s="10"/>
    </row>
    <row r="61" spans="1:16" s="1" customFormat="1" x14ac:dyDescent="0.3">
      <c r="A61" s="18" t="s">
        <v>44</v>
      </c>
      <c r="B61" s="19"/>
      <c r="C61" s="19"/>
      <c r="D61" s="19"/>
      <c r="E61" s="19"/>
      <c r="F61" s="19"/>
      <c r="G61" s="20"/>
    </row>
    <row r="62" spans="1:16" s="1" customFormat="1" x14ac:dyDescent="0.3">
      <c r="A62" s="44" t="s">
        <v>29</v>
      </c>
      <c r="B62" s="45"/>
      <c r="C62" s="24"/>
      <c r="D62" s="56">
        <v>10</v>
      </c>
      <c r="E62" s="53"/>
      <c r="F62" s="57" t="s">
        <v>45</v>
      </c>
      <c r="G62" s="58"/>
      <c r="H62" s="83"/>
      <c r="I62" s="83"/>
    </row>
    <row r="63" spans="1:16" s="1" customFormat="1" x14ac:dyDescent="0.3">
      <c r="A63" s="48" t="s">
        <v>31</v>
      </c>
      <c r="B63" s="49"/>
      <c r="C63" s="24"/>
      <c r="D63" s="60">
        <v>5.6582E-2</v>
      </c>
      <c r="E63" s="53"/>
      <c r="F63" s="61" t="s">
        <v>32</v>
      </c>
      <c r="G63" s="62">
        <v>2.4556999999999999E-2</v>
      </c>
      <c r="H63" s="83"/>
      <c r="I63" s="83"/>
    </row>
    <row r="64" spans="1:16" s="1" customFormat="1" x14ac:dyDescent="0.3">
      <c r="A64" s="50" t="s">
        <v>33</v>
      </c>
      <c r="B64" s="51"/>
      <c r="C64" s="9"/>
      <c r="D64" s="65">
        <v>4.8533E-2</v>
      </c>
      <c r="E64" s="53"/>
      <c r="F64" s="66" t="s">
        <v>34</v>
      </c>
      <c r="G64" s="67">
        <v>2.5104000000000001E-2</v>
      </c>
      <c r="H64" s="83"/>
      <c r="I64" s="83"/>
    </row>
    <row r="65" spans="1:9" s="1" customFormat="1" x14ac:dyDescent="0.3">
      <c r="A65" s="46" t="s">
        <v>35</v>
      </c>
      <c r="B65" s="47"/>
      <c r="C65" s="28"/>
      <c r="D65" s="69">
        <v>4.7641000000000003E-2</v>
      </c>
      <c r="E65" s="53"/>
      <c r="F65" s="57" t="s">
        <v>36</v>
      </c>
      <c r="G65" s="70">
        <v>0.20419399999999999</v>
      </c>
      <c r="H65" s="83"/>
      <c r="I65" s="83"/>
    </row>
    <row r="66" spans="1:9" s="1" customFormat="1" x14ac:dyDescent="0.3">
      <c r="A66" s="48" t="s">
        <v>37</v>
      </c>
      <c r="B66" s="49"/>
      <c r="C66" s="9"/>
      <c r="D66" s="65">
        <v>5.6582E-2</v>
      </c>
      <c r="E66" s="53"/>
      <c r="F66" s="71" t="s">
        <v>38</v>
      </c>
      <c r="G66" s="72">
        <f>G48</f>
        <v>1.1805E-2</v>
      </c>
      <c r="H66" s="83"/>
      <c r="I66" s="84"/>
    </row>
    <row r="67" spans="1:9" s="1" customFormat="1" x14ac:dyDescent="0.3">
      <c r="A67" s="50" t="s">
        <v>39</v>
      </c>
      <c r="B67" s="51"/>
      <c r="C67" s="9"/>
      <c r="D67" s="65">
        <v>9.3982999999999997E-2</v>
      </c>
      <c r="E67" s="53"/>
      <c r="F67" s="66" t="s">
        <v>20</v>
      </c>
      <c r="G67" s="72">
        <v>1.8877999999999999E-2</v>
      </c>
      <c r="H67" s="83"/>
      <c r="I67" s="83"/>
    </row>
    <row r="68" spans="1:9" s="1" customFormat="1" x14ac:dyDescent="0.3">
      <c r="A68" s="46" t="s">
        <v>40</v>
      </c>
      <c r="B68" s="47"/>
      <c r="C68" s="28"/>
      <c r="D68" s="69">
        <v>9.7272999999999998E-2</v>
      </c>
      <c r="E68" s="68"/>
      <c r="F68" s="66" t="s">
        <v>41</v>
      </c>
      <c r="G68" s="72">
        <v>9.4596E-2</v>
      </c>
      <c r="H68" s="83"/>
      <c r="I68" s="83"/>
    </row>
    <row r="69" spans="1:9" s="1" customFormat="1" x14ac:dyDescent="0.3"/>
    <row r="70" spans="1:9" s="1" customFormat="1" x14ac:dyDescent="0.3">
      <c r="A70" s="18" t="s">
        <v>46</v>
      </c>
      <c r="B70" s="19"/>
      <c r="C70" s="19"/>
      <c r="D70" s="19"/>
      <c r="E70" s="19"/>
      <c r="F70" s="19"/>
      <c r="G70" s="20"/>
    </row>
    <row r="71" spans="1:9" s="1" customFormat="1" x14ac:dyDescent="0.3">
      <c r="A71" s="44" t="s">
        <v>29</v>
      </c>
      <c r="B71" s="45"/>
      <c r="C71" s="24"/>
      <c r="D71" s="56">
        <v>12</v>
      </c>
      <c r="E71" s="53"/>
      <c r="F71" s="57" t="s">
        <v>45</v>
      </c>
      <c r="G71" s="58"/>
    </row>
    <row r="72" spans="1:9" s="1" customFormat="1" x14ac:dyDescent="0.3">
      <c r="A72" s="48" t="s">
        <v>31</v>
      </c>
      <c r="B72" s="49"/>
      <c r="C72" s="24"/>
      <c r="D72" s="60">
        <v>5.6874000000000001E-2</v>
      </c>
      <c r="E72" s="53"/>
      <c r="F72" s="61" t="s">
        <v>32</v>
      </c>
      <c r="G72" s="62">
        <v>2.4556999999999999E-2</v>
      </c>
    </row>
    <row r="73" spans="1:9" s="1" customFormat="1" x14ac:dyDescent="0.3">
      <c r="A73" s="50" t="s">
        <v>33</v>
      </c>
      <c r="B73" s="51"/>
      <c r="C73" s="9"/>
      <c r="D73" s="65">
        <v>4.8784000000000001E-2</v>
      </c>
      <c r="E73" s="53"/>
      <c r="F73" s="66" t="s">
        <v>34</v>
      </c>
      <c r="G73" s="67">
        <v>2.5104000000000001E-2</v>
      </c>
    </row>
    <row r="74" spans="1:9" s="1" customFormat="1" x14ac:dyDescent="0.3">
      <c r="A74" s="46" t="s">
        <v>35</v>
      </c>
      <c r="B74" s="47"/>
      <c r="C74" s="28"/>
      <c r="D74" s="69">
        <v>4.7886999999999999E-2</v>
      </c>
      <c r="E74" s="53"/>
      <c r="F74" s="57" t="s">
        <v>36</v>
      </c>
      <c r="G74" s="70">
        <v>0.19827600000000001</v>
      </c>
    </row>
    <row r="75" spans="1:9" s="1" customFormat="1" x14ac:dyDescent="0.3">
      <c r="A75" s="48" t="s">
        <v>37</v>
      </c>
      <c r="B75" s="49"/>
      <c r="C75" s="9"/>
      <c r="D75" s="65">
        <v>5.6874000000000001E-2</v>
      </c>
      <c r="E75" s="53"/>
      <c r="F75" s="71" t="s">
        <v>38</v>
      </c>
      <c r="G75" s="72">
        <v>1.1867000000000001E-2</v>
      </c>
    </row>
    <row r="76" spans="1:9" s="1" customFormat="1" x14ac:dyDescent="0.3">
      <c r="A76" s="50" t="s">
        <v>39</v>
      </c>
      <c r="B76" s="51"/>
      <c r="C76" s="9"/>
      <c r="D76" s="65">
        <v>9.4467999999999996E-2</v>
      </c>
      <c r="E76" s="53"/>
      <c r="F76" s="66" t="s">
        <v>20</v>
      </c>
      <c r="G76" s="72">
        <v>1.7437999999999999E-2</v>
      </c>
    </row>
    <row r="77" spans="1:9" s="1" customFormat="1" x14ac:dyDescent="0.3">
      <c r="A77" s="46" t="s">
        <v>40</v>
      </c>
      <c r="B77" s="47"/>
      <c r="C77" s="28"/>
      <c r="D77" s="69">
        <v>9.7775000000000001E-2</v>
      </c>
      <c r="E77" s="68"/>
      <c r="F77" s="66" t="s">
        <v>41</v>
      </c>
      <c r="G77" s="72">
        <v>5.8456000000000001E-2</v>
      </c>
    </row>
    <row r="78" spans="1:9" s="1" customFormat="1" x14ac:dyDescent="0.3"/>
    <row r="79" spans="1:9" s="1" customFormat="1" x14ac:dyDescent="0.3">
      <c r="A79" s="18" t="s">
        <v>47</v>
      </c>
      <c r="B79" s="19"/>
      <c r="C79" s="19"/>
      <c r="D79" s="19"/>
      <c r="E79" s="19"/>
      <c r="F79" s="19"/>
      <c r="G79" s="20"/>
    </row>
    <row r="80" spans="1:9" s="1" customFormat="1" x14ac:dyDescent="0.3">
      <c r="A80" s="44" t="s">
        <v>29</v>
      </c>
      <c r="B80" s="45"/>
      <c r="C80" s="24"/>
      <c r="D80" s="56">
        <v>14</v>
      </c>
      <c r="E80" s="53"/>
      <c r="F80" s="57" t="s">
        <v>48</v>
      </c>
      <c r="G80" s="58"/>
    </row>
    <row r="81" spans="1:7" s="1" customFormat="1" x14ac:dyDescent="0.3">
      <c r="A81" s="48" t="s">
        <v>31</v>
      </c>
      <c r="B81" s="49"/>
      <c r="C81" s="24"/>
      <c r="D81" s="60">
        <v>5.8366000000000001E-2</v>
      </c>
      <c r="E81" s="53"/>
      <c r="F81" s="61" t="s">
        <v>32</v>
      </c>
      <c r="G81" s="62">
        <v>2.8240999999999999E-2</v>
      </c>
    </row>
    <row r="82" spans="1:7" s="1" customFormat="1" x14ac:dyDescent="0.3">
      <c r="A82" s="50" t="s">
        <v>33</v>
      </c>
      <c r="B82" s="51"/>
      <c r="C82" s="9"/>
      <c r="D82" s="65">
        <v>5.0061999999999995E-2</v>
      </c>
      <c r="E82" s="53"/>
      <c r="F82" s="66" t="s">
        <v>34</v>
      </c>
      <c r="G82" s="67">
        <v>2.887E-2</v>
      </c>
    </row>
    <row r="83" spans="1:7" s="1" customFormat="1" x14ac:dyDescent="0.3">
      <c r="A83" s="46" t="s">
        <v>35</v>
      </c>
      <c r="B83" s="47"/>
      <c r="C83" s="28"/>
      <c r="D83" s="69">
        <v>4.9142999999999999E-2</v>
      </c>
      <c r="E83" s="53"/>
      <c r="F83" s="57" t="s">
        <v>36</v>
      </c>
      <c r="G83" s="70">
        <v>0.18517900000000001</v>
      </c>
    </row>
    <row r="84" spans="1:7" s="1" customFormat="1" x14ac:dyDescent="0.3">
      <c r="A84" s="48" t="s">
        <v>37</v>
      </c>
      <c r="B84" s="49"/>
      <c r="C84" s="9"/>
      <c r="D84" s="65">
        <v>5.8366000000000001E-2</v>
      </c>
      <c r="E84" s="53"/>
      <c r="F84" s="71" t="s">
        <v>38</v>
      </c>
      <c r="G84" s="72">
        <v>1.1783999999999999E-2</v>
      </c>
    </row>
    <row r="85" spans="1:7" s="1" customFormat="1" x14ac:dyDescent="0.3">
      <c r="A85" s="50" t="s">
        <v>39</v>
      </c>
      <c r="B85" s="51"/>
      <c r="C85" s="9"/>
      <c r="D85" s="65">
        <v>9.6943000000000001E-2</v>
      </c>
      <c r="E85" s="53"/>
      <c r="F85" s="66" t="s">
        <v>20</v>
      </c>
      <c r="G85" s="72">
        <v>1.0052999999999999E-2</v>
      </c>
    </row>
    <row r="86" spans="1:7" s="1" customFormat="1" x14ac:dyDescent="0.3">
      <c r="A86" s="46" t="s">
        <v>40</v>
      </c>
      <c r="B86" s="47"/>
      <c r="C86" s="28"/>
      <c r="D86" s="69">
        <v>0.10033599999999999</v>
      </c>
      <c r="E86" s="68"/>
      <c r="F86" s="66" t="s">
        <v>41</v>
      </c>
      <c r="G86" s="72">
        <v>3.8129999999999997E-2</v>
      </c>
    </row>
    <row r="87" spans="1:7" s="1" customFormat="1" x14ac:dyDescent="0.3"/>
    <row r="88" spans="1:7" customFormat="1" ht="13.2" x14ac:dyDescent="0.25"/>
    <row r="89" spans="1:7" customFormat="1" ht="13.2" x14ac:dyDescent="0.25"/>
    <row r="90" spans="1:7" customFormat="1" ht="13.2" x14ac:dyDescent="0.25"/>
    <row r="91" spans="1:7" customFormat="1" ht="13.2" x14ac:dyDescent="0.25"/>
    <row r="92" spans="1:7" customFormat="1" ht="13.2" x14ac:dyDescent="0.25"/>
    <row r="93" spans="1:7" customFormat="1" ht="13.2" x14ac:dyDescent="0.25"/>
    <row r="94" spans="1:7" customFormat="1" ht="13.2" x14ac:dyDescent="0.25"/>
    <row r="95" spans="1:7" customFormat="1" ht="13.2" x14ac:dyDescent="0.25"/>
    <row r="96" spans="1:7" customFormat="1" ht="13.2" x14ac:dyDescent="0.25"/>
    <row r="97" customFormat="1" ht="13.2" x14ac:dyDescent="0.25"/>
    <row r="98" customFormat="1" ht="13.2" x14ac:dyDescent="0.25"/>
  </sheetData>
  <mergeCells count="8">
    <mergeCell ref="A50:B50"/>
    <mergeCell ref="A53:B53"/>
    <mergeCell ref="A44:B44"/>
    <mergeCell ref="A45:B45"/>
    <mergeCell ref="A46:B46"/>
    <mergeCell ref="A47:B47"/>
    <mergeCell ref="A48:B48"/>
    <mergeCell ref="A49:B49"/>
  </mergeCells>
  <pageMargins left="0.75" right="0.75" top="1.25" bottom="1" header="0.8" footer="0.8"/>
  <pageSetup scale="65" orientation="landscape" r:id="rId1"/>
  <headerFooter alignWithMargins="0">
    <oddHeader>&amp;R&amp;12MFRH 1.1
Docket No. 44902</oddHeader>
    <oddFooter>&amp;RPage &amp;P of &amp;N</oddFooter>
  </headerFooter>
  <rowBreaks count="1" manualBreakCount="1">
    <brk id="41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MFRH-1.1</vt:lpstr>
      <vt:lpstr>Hist - Inside</vt:lpstr>
      <vt:lpstr>Hist - Outside</vt:lpstr>
      <vt:lpstr>Hist - Inside Sen Cit Discount</vt:lpstr>
      <vt:lpstr>Hist - Outside Sen Cit Discount</vt:lpstr>
      <vt:lpstr>'Hist - Inside'!Print_Area</vt:lpstr>
      <vt:lpstr>'Hist - Inside Sen Cit Discount'!Print_Area</vt:lpstr>
      <vt:lpstr>'Hist - Outside'!Print_Area</vt:lpstr>
      <vt:lpstr>'Hist - Outside Sen Cit Discount'!Print_Area</vt:lpstr>
      <vt:lpstr>'MFRH-1.1'!Print_Area</vt:lpstr>
      <vt:lpstr>'Hist - Inside'!Print_Titles</vt:lpstr>
      <vt:lpstr>'Hist - Inside Sen Cit Discount'!Print_Titles</vt:lpstr>
      <vt:lpstr>'Hist - Outside'!Print_Titles</vt:lpstr>
      <vt:lpstr>'Hist - Outside Sen Cit Discount'!Print_Titles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2023-02-27T16:24:21Z</dcterms:created>
  <dcterms:modified xsi:type="dcterms:W3CDTF">2023-02-27T16:24:28Z</dcterms:modified>
  <cp:category/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